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2495" windowHeight="11445" tabRatio="932" firstSheet="12" activeTab="17"/>
  </bookViews>
  <sheets>
    <sheet name="Прлж.Ф-1" sheetId="38" r:id="rId1"/>
    <sheet name="Прлж.Ф-3(1)" sheetId="39" r:id="rId2"/>
    <sheet name="1-КРОВЛИ" sheetId="35" r:id="rId3"/>
    <sheet name="2-ТВР (испр)" sheetId="37" r:id="rId4"/>
    <sheet name="3-СТЫКИ" sheetId="29" r:id="rId5"/>
    <sheet name="4-Фасады" sheetId="30" r:id="rId6"/>
    <sheet name="5а-Л.КЛ (3)" sheetId="41" r:id="rId7"/>
    <sheet name="5-Л.КЛ (2)" sheetId="28" r:id="rId8"/>
    <sheet name="6-Тех.Пом." sheetId="15" r:id="rId9"/>
    <sheet name="7-МОП полы" sheetId="16" r:id="rId10"/>
    <sheet name="8-Вод.Труб. " sheetId="8" r:id="rId11"/>
    <sheet name="10-Отмостка" sheetId="17" r:id="rId12"/>
    <sheet name="21-Асфальт(П)" sheetId="27" r:id="rId13"/>
    <sheet name="11-двери" sheetId="14" r:id="rId14"/>
    <sheet name="12-Мет.Дв.и Реш" sheetId="31" r:id="rId15"/>
    <sheet name="13-ОКНА" sheetId="21" r:id="rId16"/>
    <sheet name="14-Козыр,Балк,Крыл" sheetId="9" r:id="rId17"/>
    <sheet name="15-мусор.пров" sheetId="6" r:id="rId18"/>
    <sheet name="18-ПРИяМКИ" sheetId="5" r:id="rId19"/>
    <sheet name="19-ДЕФЛЕКТ-в.канал" sheetId="12" r:id="rId20"/>
    <sheet name="Д - Почт.ящики" sheetId="26" r:id="rId21"/>
  </sheets>
  <definedNames>
    <definedName name="_xlnm._FilterDatabase" localSheetId="14" hidden="1">'12-Мет.Дв.и Реш'!$B$14:$W$34</definedName>
    <definedName name="_xlnm._FilterDatabase" localSheetId="15" hidden="1">'13-ОКНА'!$B$12:$O$82</definedName>
    <definedName name="_xlnm._FilterDatabase" localSheetId="16" hidden="1">'14-Козыр,Балк,Крыл'!$A$11:$R$11</definedName>
    <definedName name="_xlnm._FilterDatabase" localSheetId="19" hidden="1">'19-ДЕФЛЕКТ-в.канал'!$B$12:$F$26</definedName>
    <definedName name="_xlnm._FilterDatabase" localSheetId="2" hidden="1">'1-КРОВЛИ'!$A$11:$K$43</definedName>
    <definedName name="_xlnm._FilterDatabase" localSheetId="3" hidden="1">'2-ТВР (испр)'!$A$15:$S$56</definedName>
    <definedName name="_xlnm._FilterDatabase" localSheetId="5" hidden="1">'4-Фасады'!$A$11:$J$92</definedName>
    <definedName name="_xlnm._FilterDatabase" localSheetId="6" hidden="1">'5а-Л.КЛ (3)'!$B$15:$P$15</definedName>
    <definedName name="_xlnm._FilterDatabase" localSheetId="7" hidden="1">'5-Л.КЛ (2)'!$A$12:$U$48</definedName>
    <definedName name="_xlnm.Print_Area" localSheetId="11">'10-Отмостка'!$B$2:$L$69</definedName>
    <definedName name="_xlnm.Print_Area" localSheetId="14">'12-Мет.Дв.и Реш'!$B$2:$O$37</definedName>
    <definedName name="_xlnm.Print_Area" localSheetId="15">'13-ОКНА'!$A$1:$M$86</definedName>
    <definedName name="_xlnm.Print_Area" localSheetId="16">'14-Козыр,Балк,Крыл'!$A$1:$Q$136</definedName>
    <definedName name="_xlnm.Print_Area" localSheetId="17">'15-мусор.пров'!$B$1:$E$22</definedName>
    <definedName name="_xlnm.Print_Area" localSheetId="18">'18-ПРИяМКИ'!$B$1:$G$36</definedName>
    <definedName name="_xlnm.Print_Area" localSheetId="19">'19-ДЕФЛЕКТ-в.канал'!$A$1:$F$28</definedName>
    <definedName name="_xlnm.Print_Area" localSheetId="2">'1-КРОВЛИ'!$A$6:$J$77</definedName>
    <definedName name="_xlnm.Print_Area" localSheetId="12">'21-Асфальт(П)'!$A$1:$L$19</definedName>
    <definedName name="_xlnm.Print_Area" localSheetId="3">'2-ТВР (испр)'!$A$1:$T$59</definedName>
    <definedName name="_xlnm.Print_Area" localSheetId="4">'3-СТЫКИ'!$A$1:$F$44</definedName>
    <definedName name="_xlnm.Print_Area" localSheetId="5">'4-Фасады'!$A$1:$J$95</definedName>
    <definedName name="_xlnm.Print_Area" localSheetId="6">'5а-Л.КЛ (3)'!$A$1:$X$62</definedName>
    <definedName name="_xlnm.Print_Area" localSheetId="7">'5-Л.КЛ (2)'!$A$1:$T$59</definedName>
    <definedName name="_xlnm.Print_Area" localSheetId="8">'6-Тех.Пом.'!$A$1:$E$21</definedName>
    <definedName name="_xlnm.Print_Area" localSheetId="9">'7-МОП полы'!$A$1:$F$47</definedName>
    <definedName name="_xlnm.Print_Area" localSheetId="10">'8-Вод.Труб. '!$B$1:$I$62</definedName>
    <definedName name="_xlnm.Print_Area" localSheetId="20">'Д - Почт.ящики'!$B$1:$F$31</definedName>
    <definedName name="_xlnm.Print_Area" localSheetId="0">'Прлж.Ф-1'!$A$4:$T$160</definedName>
    <definedName name="_xlnm.Print_Area" localSheetId="1">'Прлж.Ф-3(1)'!$A$1:$G$162</definedName>
    <definedName name="_xlnm.Print_Titles" localSheetId="0">'Прлж.Ф-1'!$9:$11</definedName>
    <definedName name="_xlnm.Print_Titles" localSheetId="1">'Прлж.Ф-3(1)'!$11:$12</definedName>
    <definedName name="_xlnm.Print_Titles" localSheetId="2">'1-КРОВЛИ'!$9:$10</definedName>
    <definedName name="_xlnm.Print_Titles" localSheetId="3">'2-ТВР (испр)'!$12:$14</definedName>
    <definedName name="_xlnm.Print_Titles" localSheetId="4">'3-СТЫКИ'!$8:$9</definedName>
    <definedName name="_xlnm.Print_Titles" localSheetId="5">'4-Фасады'!$8:$10</definedName>
    <definedName name="_xlnm.Print_Titles" localSheetId="6">'5а-Л.КЛ (3)'!$11:$14</definedName>
    <definedName name="_xlnm.Print_Titles" localSheetId="7">'5-Л.КЛ (2)'!$8:$11</definedName>
    <definedName name="_xlnm.Print_Titles" localSheetId="10">'8-Вод.Труб. '!$5:$6</definedName>
    <definedName name="_xlnm.Print_Titles" localSheetId="11">'10-Отмостка'!$5:$6</definedName>
    <definedName name="_xlnm.Print_Titles" localSheetId="13">'11-двери'!$7:$9</definedName>
    <definedName name="_xlnm.Print_Titles" localSheetId="15">'13-ОКНА'!$10:$11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<sst xmlns="http://schemas.openxmlformats.org/spreadsheetml/2006/main" count="2476" uniqueCount="957">
  <si>
    <t>" Утверждаю"</t>
  </si>
  <si>
    <t xml:space="preserve"> Генеральный директор</t>
  </si>
  <si>
    <t>ООО "ЖКС г. Ломоносова"</t>
  </si>
  <si>
    <t>____________ Шмелева В.Н.</t>
  </si>
  <si>
    <t>Адресная программа ремонта лестничных клеток жилых домов</t>
  </si>
  <si>
    <t>№ п\п</t>
  </si>
  <si>
    <t>Адрес</t>
  </si>
  <si>
    <t>этажность</t>
  </si>
  <si>
    <t>всего</t>
  </si>
  <si>
    <t>1 квартал</t>
  </si>
  <si>
    <t>2 квартал</t>
  </si>
  <si>
    <t>3 квартал</t>
  </si>
  <si>
    <t>4квартал</t>
  </si>
  <si>
    <t>л\кл</t>
  </si>
  <si>
    <t>стоимость</t>
  </si>
  <si>
    <t>в т.ч.</t>
  </si>
  <si>
    <t>л/клетки</t>
  </si>
  <si>
    <t>сумма</t>
  </si>
  <si>
    <t>л\клетки</t>
  </si>
  <si>
    <t>хоз.спос.</t>
  </si>
  <si>
    <t>подряд</t>
  </si>
  <si>
    <t>кол-во</t>
  </si>
  <si>
    <t>площ.</t>
  </si>
  <si>
    <t>т.руб</t>
  </si>
  <si>
    <t>т.руб.</t>
  </si>
  <si>
    <t>тыс.руб</t>
  </si>
  <si>
    <t>Александровская 29</t>
  </si>
  <si>
    <t>Александровская 31</t>
  </si>
  <si>
    <t>Александровская 32а</t>
  </si>
  <si>
    <t>Александровская 36в</t>
  </si>
  <si>
    <t>Александровская 42</t>
  </si>
  <si>
    <t>Ораниенбаумский 43 к.3</t>
  </si>
  <si>
    <t>Победы 23</t>
  </si>
  <si>
    <t>Скуридина 6</t>
  </si>
  <si>
    <t>Скуридина 9</t>
  </si>
  <si>
    <t>Швейцарская 7</t>
  </si>
  <si>
    <t>Ж.Антоненко 16</t>
  </si>
  <si>
    <t>Начальник ПТО</t>
  </si>
  <si>
    <t>Чирва Л. Д.</t>
  </si>
  <si>
    <t>ср. за м2</t>
  </si>
  <si>
    <t>"Утверждаю"</t>
  </si>
  <si>
    <t>Генеральный директор</t>
  </si>
  <si>
    <t>__________ В.Н.Шмелева</t>
  </si>
  <si>
    <t xml:space="preserve">Адресная программа </t>
  </si>
  <si>
    <t>№
п/п</t>
  </si>
  <si>
    <t>кровля</t>
  </si>
  <si>
    <t>объем
м 2</t>
  </si>
  <si>
    <t>хоз.способ</t>
  </si>
  <si>
    <t>подряд.способ</t>
  </si>
  <si>
    <t>Примечание</t>
  </si>
  <si>
    <t>объем тыс. м 2</t>
  </si>
  <si>
    <t>стоимость
тыс. руб.</t>
  </si>
  <si>
    <t>Жесткая</t>
  </si>
  <si>
    <t>1 Нижняя 5</t>
  </si>
  <si>
    <t>жесткая</t>
  </si>
  <si>
    <t>Александровская 40</t>
  </si>
  <si>
    <t>Владимирская 21</t>
  </si>
  <si>
    <t>поджатие и герметизация фальцев</t>
  </si>
  <si>
    <t>Владимирская 23</t>
  </si>
  <si>
    <t>Владимирская 26а</t>
  </si>
  <si>
    <t>Дворцовый 38</t>
  </si>
  <si>
    <t>Красного Флота 3</t>
  </si>
  <si>
    <t>Красного Флота 5</t>
  </si>
  <si>
    <t>Морская 84а</t>
  </si>
  <si>
    <t>карнизный свес</t>
  </si>
  <si>
    <t>Морская 86а</t>
  </si>
  <si>
    <t>Профсоюзная 26</t>
  </si>
  <si>
    <t>Сафронова 1а</t>
  </si>
  <si>
    <t>Сафронова 6</t>
  </si>
  <si>
    <t>Итого жесткой :</t>
  </si>
  <si>
    <t>Мягкая</t>
  </si>
  <si>
    <t>1</t>
  </si>
  <si>
    <t>Александровская 28</t>
  </si>
  <si>
    <t>мягкая</t>
  </si>
  <si>
    <t>карнизные свесы</t>
  </si>
  <si>
    <t>кв 29</t>
  </si>
  <si>
    <t>Александровская 36б</t>
  </si>
  <si>
    <t>Александровская 45</t>
  </si>
  <si>
    <t>смена покрытия</t>
  </si>
  <si>
    <t>Богумиловская 13</t>
  </si>
  <si>
    <t>Ж.Антоненко 12</t>
  </si>
  <si>
    <t>Ж.Антоненко 14а</t>
  </si>
  <si>
    <t>смена покрытий</t>
  </si>
  <si>
    <t>Ж.Антоненко 8</t>
  </si>
  <si>
    <t>окрытие парапета</t>
  </si>
  <si>
    <t>кв 112,178</t>
  </si>
  <si>
    <t>Красного Флота 4</t>
  </si>
  <si>
    <t xml:space="preserve">Дикси </t>
  </si>
  <si>
    <t>Красного Флота 6</t>
  </si>
  <si>
    <t>ГЖИ до 01.07.17</t>
  </si>
  <si>
    <t>над подъездами</t>
  </si>
  <si>
    <t>Токарева 18а</t>
  </si>
  <si>
    <t>Швейцарская 10</t>
  </si>
  <si>
    <t>Итого мягкой:</t>
  </si>
  <si>
    <t>Итого жесткая и мягкая:</t>
  </si>
  <si>
    <t xml:space="preserve">Начальник ПТО </t>
  </si>
  <si>
    <t>Л. Д. Чирва</t>
  </si>
  <si>
    <t>штукатурка</t>
  </si>
  <si>
    <t>покраска</t>
  </si>
  <si>
    <t>подрядный способ</t>
  </si>
  <si>
    <t xml:space="preserve">объем
м 2
</t>
  </si>
  <si>
    <t xml:space="preserve">объем
м 2              
</t>
  </si>
  <si>
    <t xml:space="preserve">объем
тыс.м 2
</t>
  </si>
  <si>
    <t>Александровская 25</t>
  </si>
  <si>
    <t>Владимирская 24</t>
  </si>
  <si>
    <t>окраска цоколя</t>
  </si>
  <si>
    <t>Ораниенбаумский 21</t>
  </si>
  <si>
    <t>Победы 16/12</t>
  </si>
  <si>
    <t>Победы 22/7</t>
  </si>
  <si>
    <t>Скуридина 1</t>
  </si>
  <si>
    <t>ИТОГО:</t>
  </si>
  <si>
    <t>Утверждаю
Генеральный директор
ООО "ЖКС г. Ломоносова"
_________Шмелева В.Н.</t>
  </si>
  <si>
    <t>воронки
шт.</t>
  </si>
  <si>
    <t>звенья
шт.</t>
  </si>
  <si>
    <t>колена
шт.</t>
  </si>
  <si>
    <t>отливы
шт.</t>
  </si>
  <si>
    <t>Стоимость в тыс. руб.</t>
  </si>
  <si>
    <t>Примечания</t>
  </si>
  <si>
    <t>Александровская 36а</t>
  </si>
  <si>
    <t>Александровская 5</t>
  </si>
  <si>
    <t>Красного Флота 1а</t>
  </si>
  <si>
    <t>Красного Флота 1б</t>
  </si>
  <si>
    <t>Красного Флота 7а</t>
  </si>
  <si>
    <t>Победы 1</t>
  </si>
  <si>
    <t>Швейцарская 24</t>
  </si>
  <si>
    <t>Всего</t>
  </si>
  <si>
    <t>"Утверждаю"
Генеральный директор
ООО "ЖКС г. Ломоносова"                                                                                                              ____________Шмелева В.Н.</t>
  </si>
  <si>
    <t>выполнено в 2015</t>
  </si>
  <si>
    <t>№</t>
  </si>
  <si>
    <t>шт</t>
  </si>
  <si>
    <t>м2</t>
  </si>
  <si>
    <t>Сумма в т.р.</t>
  </si>
  <si>
    <t>примечание</t>
  </si>
  <si>
    <t>тыс. руб</t>
  </si>
  <si>
    <t>Срок</t>
  </si>
  <si>
    <t>п/п</t>
  </si>
  <si>
    <t>Богумиловская 15</t>
  </si>
  <si>
    <t>спуск в подвал</t>
  </si>
  <si>
    <t>Ораниенбаумский 27</t>
  </si>
  <si>
    <t>Ораниенбаумский 29</t>
  </si>
  <si>
    <t>Сафронова 10</t>
  </si>
  <si>
    <t>Швейцарская 9</t>
  </si>
  <si>
    <t>Итого:</t>
  </si>
  <si>
    <t>Чирва Л.Д.</t>
  </si>
  <si>
    <t>Утверждаю
Генеральный директор
ООО "ЖКС г. Ломоносова"
______________Шмелева В.Н.</t>
  </si>
  <si>
    <t>шт.</t>
  </si>
  <si>
    <t>Стоимость тыс. руб.</t>
  </si>
  <si>
    <t>шибер</t>
  </si>
  <si>
    <t xml:space="preserve">начальник ПТО </t>
  </si>
  <si>
    <t>по ремонту балконов, лестниц, козырьков над входами</t>
  </si>
  <si>
    <t>Крыльца</t>
  </si>
  <si>
    <t>Козырьки</t>
  </si>
  <si>
    <t>балконы</t>
  </si>
  <si>
    <t>в т.р.</t>
  </si>
  <si>
    <t>в т.р</t>
  </si>
  <si>
    <t>т.м2</t>
  </si>
  <si>
    <t>срок</t>
  </si>
  <si>
    <t>подвал</t>
  </si>
  <si>
    <t>Александровская 30</t>
  </si>
  <si>
    <t>п.5</t>
  </si>
  <si>
    <t>Кронштадтская 4а</t>
  </si>
  <si>
    <t>Кронштадтская 6/49</t>
  </si>
  <si>
    <t>Ораниенбаумский 31</t>
  </si>
  <si>
    <t>Ораниенбаумский 47</t>
  </si>
  <si>
    <t>Петровский 4</t>
  </si>
  <si>
    <t>Победы 15</t>
  </si>
  <si>
    <t>Победы 21</t>
  </si>
  <si>
    <t>Профсоюзная 11а</t>
  </si>
  <si>
    <t>Рубакина 12</t>
  </si>
  <si>
    <t>Скуридина 2</t>
  </si>
  <si>
    <t>Скуридина 3</t>
  </si>
  <si>
    <t>Федюнинского 3 к.1</t>
  </si>
  <si>
    <t>Федюнинского 3 к.2</t>
  </si>
  <si>
    <t>Федюнинского 5 к.1</t>
  </si>
  <si>
    <t>Швейцарская 14</t>
  </si>
  <si>
    <t>Швейцарская 2</t>
  </si>
  <si>
    <t xml:space="preserve">Итого: </t>
  </si>
  <si>
    <t>Всего:</t>
  </si>
  <si>
    <t xml:space="preserve"> ООО "ЖКС г.Ломоносова"</t>
  </si>
  <si>
    <t>Шмелёва В.Н.</t>
  </si>
  <si>
    <t xml:space="preserve">Адресная программа текущего ремонта </t>
  </si>
  <si>
    <t>по ООО "ЖКС г. Ломоносова"</t>
  </si>
  <si>
    <t>№№ пп</t>
  </si>
  <si>
    <t>кол-во    шт.</t>
  </si>
  <si>
    <t>тыс.руб.</t>
  </si>
  <si>
    <t>колпак</t>
  </si>
  <si>
    <t>Красноармейская 29</t>
  </si>
  <si>
    <t>Ломоносова 2</t>
  </si>
  <si>
    <t xml:space="preserve"> ООО"ЖКС г.Ломоносова"</t>
  </si>
  <si>
    <t>В.Н. Шмелева</t>
  </si>
  <si>
    <t xml:space="preserve"> по нормализации температурно-влажностного режима</t>
  </si>
  <si>
    <t>Нормализация температурно-влажностного режима</t>
  </si>
  <si>
    <t>Утепление (засыпка) чердачного помещения (в куб, м)</t>
  </si>
  <si>
    <t>стоимость  (тыс. руб.)</t>
  </si>
  <si>
    <t>Дополнительная теплоизоляция верхней разводки системы (по всей разводке)  (п.м.)</t>
  </si>
  <si>
    <t>Покрытие фасонных частей верхней разводки теплоизоляционной краской</t>
  </si>
  <si>
    <t>стоимость   тыс. руб.</t>
  </si>
  <si>
    <t>Ремонт и замена слуховых окон (шт.)</t>
  </si>
  <si>
    <t>ст-сть   (тыс. руб.)</t>
  </si>
  <si>
    <t>Прочие работы (ремонт вентиляционных и дымоходов каналов и т.д.)</t>
  </si>
  <si>
    <t>Объём финансирования      тыс. руб.</t>
  </si>
  <si>
    <t>Срок выполнения работ (дата начала - окончания)</t>
  </si>
  <si>
    <t>Отметка о выполнении</t>
  </si>
  <si>
    <t>итого:</t>
  </si>
  <si>
    <t>ВСЕГО:</t>
  </si>
  <si>
    <t>Чирва.Л. Д.</t>
  </si>
  <si>
    <t>цена за 1м2 в т.р.</t>
  </si>
  <si>
    <t>ст-сть   тыс. руб.</t>
  </si>
  <si>
    <t>Утверждаю
Генеральный директор
ООО "ЖКС г. Ломоносова"
__________ Шмелёва В. Н.</t>
  </si>
  <si>
    <t>№ квартир</t>
  </si>
  <si>
    <t>подряд. сп. тыс. п.м.</t>
  </si>
  <si>
    <t>п.м.</t>
  </si>
  <si>
    <t>Некрасова 1</t>
  </si>
  <si>
    <t>ст-сть тыс. руб.</t>
  </si>
  <si>
    <t>"Утверждаю"
Генеральный директор
ООО "ЖКС г. Ломоносова"
_________Шмелева В.Н.</t>
  </si>
  <si>
    <t>№ пп</t>
  </si>
  <si>
    <t>Всего Кол-во</t>
  </si>
  <si>
    <t>Сумма</t>
  </si>
  <si>
    <t>Входные</t>
  </si>
  <si>
    <t>тамбур</t>
  </si>
  <si>
    <t>выход</t>
  </si>
  <si>
    <t>чердак</t>
  </si>
  <si>
    <t>на кровлю</t>
  </si>
  <si>
    <t xml:space="preserve">срок </t>
  </si>
  <si>
    <t>площ. м2</t>
  </si>
  <si>
    <t>ст-сть</t>
  </si>
  <si>
    <t xml:space="preserve"> м2</t>
  </si>
  <si>
    <t>"Утверждаю"
Генеральный директор                                                                                                                                                                                                                                                                                                                                                                                                                                                                                                                                                                                                                                                                                                                                      
ООО "ЖКС г. Ломоносова" 
_____________Шмелева В.Н.</t>
  </si>
  <si>
    <t>Адресная программа текущего ремонта отмостки</t>
  </si>
  <si>
    <t>объем 
м. п.</t>
  </si>
  <si>
    <t>подр. способ</t>
  </si>
  <si>
    <t>Выполнено 2017г</t>
  </si>
  <si>
    <t>тыс. м.п.</t>
  </si>
  <si>
    <t>за ед</t>
  </si>
  <si>
    <t>тыс. руб.</t>
  </si>
  <si>
    <t>м.п.</t>
  </si>
  <si>
    <t>____________Шмелева В.Н.</t>
  </si>
  <si>
    <t>двери,  шт.</t>
  </si>
  <si>
    <t xml:space="preserve">стоимость     в т.р. </t>
  </si>
  <si>
    <t>люки,  шт.</t>
  </si>
  <si>
    <t>решетки,  шт.</t>
  </si>
  <si>
    <t>кв. м.</t>
  </si>
  <si>
    <t>хоз. сп.</t>
  </si>
  <si>
    <t>подр.сп.</t>
  </si>
  <si>
    <t>стоимость     в т.р.</t>
  </si>
  <si>
    <t>стоим.</t>
  </si>
  <si>
    <t>Победы 11б</t>
  </si>
  <si>
    <t>Федюнинского 16</t>
  </si>
  <si>
    <t>выполнение за 2017</t>
  </si>
  <si>
    <t>до 01.06.2017 г.</t>
  </si>
  <si>
    <t>ПРИСТАВЫ!!! ИСПОЛНИТЬ</t>
  </si>
  <si>
    <t xml:space="preserve"> до 01.06.2017г.</t>
  </si>
  <si>
    <t>до 01.10.2015 г.</t>
  </si>
  <si>
    <t>до 02.05.2016 г.</t>
  </si>
  <si>
    <t>до 30.06.2017г.</t>
  </si>
  <si>
    <t>до 01.10.2015г.</t>
  </si>
  <si>
    <t>до 15.11.2015 г.</t>
  </si>
  <si>
    <t>до 20.05.2014 г.</t>
  </si>
  <si>
    <t>Ораниенбаумский 39 к.2</t>
  </si>
  <si>
    <t>Ораниенбаумский 37 к.3</t>
  </si>
  <si>
    <t>Ораниенбаумский 37 к.1</t>
  </si>
  <si>
    <t>Ораниенбаумский 33 к.3</t>
  </si>
  <si>
    <t>Ораниенбаумский 33 к.2</t>
  </si>
  <si>
    <t>Ораниенбаумский 33 к.1</t>
  </si>
  <si>
    <t>Ораниенбаумский 21 к.2</t>
  </si>
  <si>
    <t>Ораниенбаумский 27 к.2</t>
  </si>
  <si>
    <t>Ж.Антоненко 6 к.1</t>
  </si>
  <si>
    <t>Победы 11а</t>
  </si>
  <si>
    <t>Победы 20 к.1</t>
  </si>
  <si>
    <t>Победы 36 к.1</t>
  </si>
  <si>
    <t>Федюнинского 14 к.1</t>
  </si>
  <si>
    <t>Федюнинского 14 к.2</t>
  </si>
  <si>
    <t>Особ.   отметка</t>
  </si>
  <si>
    <t>Утверждаю</t>
  </si>
  <si>
    <t xml:space="preserve"> тыс. руб.</t>
  </si>
  <si>
    <t>ВСЕГО</t>
  </si>
  <si>
    <t>ИТОГО ремонт и остекление</t>
  </si>
  <si>
    <t>остекление</t>
  </si>
  <si>
    <t>Примечание, изготовл.</t>
  </si>
  <si>
    <t xml:space="preserve">стоимость </t>
  </si>
  <si>
    <t>в тыс.руб.</t>
  </si>
  <si>
    <t>ремонт, изгот. рам</t>
  </si>
  <si>
    <t>Швейцарская 16 к.1</t>
  </si>
  <si>
    <t>Швейцарская 18 к.1</t>
  </si>
  <si>
    <t>Некрасова 1 к.2</t>
  </si>
  <si>
    <t>Победы 36 к.2</t>
  </si>
  <si>
    <t>Срок выполнения</t>
  </si>
  <si>
    <t>Ораниенбаумский 43 к.2</t>
  </si>
  <si>
    <t>метал.окрытие козыр.маг.Семья</t>
  </si>
  <si>
    <t>примыкание к в/каналу</t>
  </si>
  <si>
    <t>Победы 32 к.2</t>
  </si>
  <si>
    <t>текущего ремонта кровли на 2018 год ООО "ЖКС г. Ломоносова"</t>
  </si>
  <si>
    <t>цена за 1 м2</t>
  </si>
  <si>
    <t>чердачных помещений многоквартирных домов на 2018 год</t>
  </si>
  <si>
    <t xml:space="preserve">ст-сть тыс. руб. </t>
  </si>
  <si>
    <t>Восстановление отделки стен, потолков технических помещений  на 2018 г.</t>
  </si>
  <si>
    <t>Адресная программа ремонта полов МОП на 2018 год</t>
  </si>
  <si>
    <t>ВСЕГО   шт.</t>
  </si>
  <si>
    <t xml:space="preserve"> ООО "ЖКС г. Ломоносова" на 2018 год</t>
  </si>
  <si>
    <t>Адресная программа замены и ремонта дверей на 2018 год</t>
  </si>
  <si>
    <t>Адресная программа по установке металлических дверей и  решеток на  2018 год.
ООО "ЖКС г. Ломоносова"</t>
  </si>
  <si>
    <t>Адресная программа текущего ремонта мусоропроводов на 2018 г.</t>
  </si>
  <si>
    <t>Ремонт приямков, входов в подвал на 2018 г.</t>
  </si>
  <si>
    <t>1Нижняя 1</t>
  </si>
  <si>
    <t>1Нижняя 5</t>
  </si>
  <si>
    <t>окраска дверей</t>
  </si>
  <si>
    <t>Александровская 15/14</t>
  </si>
  <si>
    <t>Александровская 20/16</t>
  </si>
  <si>
    <t>п.3</t>
  </si>
  <si>
    <t>Профсоюзная 25</t>
  </si>
  <si>
    <t>Федюнинского 3 к.3</t>
  </si>
  <si>
    <t>Федюнинскго 14 к.1</t>
  </si>
  <si>
    <t>Александровская 23</t>
  </si>
  <si>
    <t>Александровская 32в</t>
  </si>
  <si>
    <t>Владимирская 4</t>
  </si>
  <si>
    <t>Владимирская 26</t>
  </si>
  <si>
    <t>Дворцовый 43/6</t>
  </si>
  <si>
    <t>Дворцовый 55/8</t>
  </si>
  <si>
    <t>Иликовский 12</t>
  </si>
  <si>
    <t>Иликовский 26а</t>
  </si>
  <si>
    <t>Костылева 12</t>
  </si>
  <si>
    <t>Костылева 14</t>
  </si>
  <si>
    <t>Красноармейская 10</t>
  </si>
  <si>
    <t>Красноармейская 37</t>
  </si>
  <si>
    <t>Красного Флота 9/46</t>
  </si>
  <si>
    <t>Михайловская 18а</t>
  </si>
  <si>
    <t>Победы 3а</t>
  </si>
  <si>
    <t>Победы 20 к. 1</t>
  </si>
  <si>
    <t>Сафронова 2</t>
  </si>
  <si>
    <t xml:space="preserve">Швейцарская 18 к.1   </t>
  </si>
  <si>
    <t>Александровская 22/17</t>
  </si>
  <si>
    <t>п. 1, 4</t>
  </si>
  <si>
    <t>Александровская 27</t>
  </si>
  <si>
    <t>Александровская 23а</t>
  </si>
  <si>
    <t>40 п.м. - примык (п.1)</t>
  </si>
  <si>
    <t>портал обещалки</t>
  </si>
  <si>
    <t>кв. 7, 11, 46</t>
  </si>
  <si>
    <t>кв. 5, 9, 13, 72 (плита)</t>
  </si>
  <si>
    <t>5 шт = окраска ограждений</t>
  </si>
  <si>
    <t>подвал и п.4</t>
  </si>
  <si>
    <t>кв 68 (огражд.)</t>
  </si>
  <si>
    <t>торец (вых. из поликл)</t>
  </si>
  <si>
    <t>кв 29 (ограждд.)</t>
  </si>
  <si>
    <t>Александровская 32б</t>
  </si>
  <si>
    <t>ремонт и окраска</t>
  </si>
  <si>
    <t>ремонт, окраска</t>
  </si>
  <si>
    <t>п.3, 4 - ремонт, окраска</t>
  </si>
  <si>
    <t>п.2 - ремонт, окраска</t>
  </si>
  <si>
    <t>ремонт поручня (дерев)</t>
  </si>
  <si>
    <t>10 фасад+80 цоколь</t>
  </si>
  <si>
    <t xml:space="preserve"> ООО "ЖКС г. Ломоносова" на 2018 год.</t>
  </si>
  <si>
    <t>60 п.м. - примык.цоколь</t>
  </si>
  <si>
    <t>50 п.м. - примык.цоколь</t>
  </si>
  <si>
    <t>210 п.м. - примык.цоколь</t>
  </si>
  <si>
    <t>170 п.м. - примык.цоколь</t>
  </si>
  <si>
    <t>40 п.м. - примык.цоколь</t>
  </si>
  <si>
    <t>ГЖИ прим. - рем. (30.03.18)</t>
  </si>
  <si>
    <t>ГЖИ - восст.кирп.и декор.клад. Фед.(30.03.18)</t>
  </si>
  <si>
    <t>Владимирская 25</t>
  </si>
  <si>
    <t>Владимирская 27</t>
  </si>
  <si>
    <t>Михвйловская 18а</t>
  </si>
  <si>
    <t>ГЖИ</t>
  </si>
  <si>
    <t>ГЖИ  - трещины,выбоины, просадки - (05.07.18)</t>
  </si>
  <si>
    <t>ГЖИ восст.огр.приям.спуска (05.07.18)</t>
  </si>
  <si>
    <t>кв 99</t>
  </si>
  <si>
    <t>кв 99 (931.383-28-53)</t>
  </si>
  <si>
    <t>93 п.м. -прим</t>
  </si>
  <si>
    <t>89 п.м. -прим</t>
  </si>
  <si>
    <t>торец (Алек.+Мих.)</t>
  </si>
  <si>
    <t>рем.цоколя</t>
  </si>
  <si>
    <t>Победы 12</t>
  </si>
  <si>
    <t>бет.плита (карниз.свес)</t>
  </si>
  <si>
    <t>кв 63 (акт АДС,ДУ,заяв.-981.857-66-43)</t>
  </si>
  <si>
    <t>Победы 34 к.1</t>
  </si>
  <si>
    <t>кв 38</t>
  </si>
  <si>
    <t>кв 38 (951.671-85-95)</t>
  </si>
  <si>
    <t>кв 69 (козыр.балк.)</t>
  </si>
  <si>
    <t>кв 38 (911.172-34-49)</t>
  </si>
  <si>
    <t xml:space="preserve"> кв.25 (422,69-77)</t>
  </si>
  <si>
    <t>коллективное заявление</t>
  </si>
  <si>
    <t>кв 60-(911.391-55-98)</t>
  </si>
  <si>
    <t>кв 8 (981.185-19-26)</t>
  </si>
  <si>
    <t>кв 33 (921.773-22-27)</t>
  </si>
  <si>
    <t>кв 10 (903.096-47-68)</t>
  </si>
  <si>
    <t>у  входной зоны</t>
  </si>
  <si>
    <t>Красноармейская 8</t>
  </si>
  <si>
    <t>у п.2 (э/щит)</t>
  </si>
  <si>
    <t>Сафронова 1</t>
  </si>
  <si>
    <t>Ремонт, замена почтовых ящиков на 2018 г.</t>
  </si>
  <si>
    <t>6*1 (п.1)</t>
  </si>
  <si>
    <t>секций</t>
  </si>
  <si>
    <t>Сафронова 4</t>
  </si>
  <si>
    <t>Сафронова 8</t>
  </si>
  <si>
    <t>Сафронова 3а</t>
  </si>
  <si>
    <t>4*5 (п.2)</t>
  </si>
  <si>
    <t>2*5; 2*4 (п.2,3)</t>
  </si>
  <si>
    <t>подвал (п.4)</t>
  </si>
  <si>
    <t>Федюнинского 5 к.2</t>
  </si>
  <si>
    <t>Федюнинского 5 к.4</t>
  </si>
  <si>
    <t>укрепление - стойки</t>
  </si>
  <si>
    <t>сетка</t>
  </si>
  <si>
    <t>Швейцарская 1</t>
  </si>
  <si>
    <t>п.1-5</t>
  </si>
  <si>
    <t>п.1</t>
  </si>
  <si>
    <t>п.4</t>
  </si>
  <si>
    <t>ремонт и окраска цоколя</t>
  </si>
  <si>
    <t>п.3,5</t>
  </si>
  <si>
    <t>4*4 (п.2,4)</t>
  </si>
  <si>
    <t>жалюзи</t>
  </si>
  <si>
    <t>Красного Флота 1</t>
  </si>
  <si>
    <t>10 - фасад, 20 - цоколь</t>
  </si>
  <si>
    <t>2*4</t>
  </si>
  <si>
    <t>у п.4</t>
  </si>
  <si>
    <t>4*4 (п.3,4)</t>
  </si>
  <si>
    <t>2*4 (п.1)</t>
  </si>
  <si>
    <t>Красного Флота 7</t>
  </si>
  <si>
    <t>2*4 (п.3)</t>
  </si>
  <si>
    <t>Красного Флота 30а</t>
  </si>
  <si>
    <t>Еленинская 27/10</t>
  </si>
  <si>
    <t>торец</t>
  </si>
  <si>
    <t>п.2,3</t>
  </si>
  <si>
    <t>4*5 (п.1)</t>
  </si>
  <si>
    <t>Выполнено в 2018 г.</t>
  </si>
  <si>
    <t>п.1,5</t>
  </si>
  <si>
    <t>п.2</t>
  </si>
  <si>
    <t xml:space="preserve">п.1,2,3- окраска окон 15 шт </t>
  </si>
  <si>
    <t>окраска подоконников</t>
  </si>
  <si>
    <t>4*4</t>
  </si>
  <si>
    <t>Красноармейская 37а</t>
  </si>
  <si>
    <t>2*6</t>
  </si>
  <si>
    <t>Александровская 43</t>
  </si>
  <si>
    <t>выполнено в 2018 г.</t>
  </si>
  <si>
    <t>4*5</t>
  </si>
  <si>
    <t>Победы 9</t>
  </si>
  <si>
    <t>п.1,2</t>
  </si>
  <si>
    <t>у п.3</t>
  </si>
  <si>
    <t>Швейцарская 8 к.2</t>
  </si>
  <si>
    <t>кв 45</t>
  </si>
  <si>
    <t>Ораниенбаумский 43 к.1</t>
  </si>
  <si>
    <t>кв 36</t>
  </si>
  <si>
    <t>стяжка входа в подвал</t>
  </si>
  <si>
    <t>Ораниенбаумский 45 к.3</t>
  </si>
  <si>
    <t>(козыр,балк.-кв 69,65)</t>
  </si>
  <si>
    <t>Ораниенбаумский 49 к.1</t>
  </si>
  <si>
    <t>чердачные</t>
  </si>
  <si>
    <t>отв. в стволе</t>
  </si>
  <si>
    <t>цоколь</t>
  </si>
  <si>
    <t>лестницы на л/клетках</t>
  </si>
  <si>
    <t>ступени</t>
  </si>
  <si>
    <t>Победы 21а</t>
  </si>
  <si>
    <t>п.1,6 - спуски в подвал</t>
  </si>
  <si>
    <t>20 п.м. - п.1 (поясок - выкрашив.кирпича)</t>
  </si>
  <si>
    <t>окрытие (козырьки)</t>
  </si>
  <si>
    <t>п.2,6</t>
  </si>
  <si>
    <t>кв 144 (протечка)</t>
  </si>
  <si>
    <t>п.5 (изгот., 6-ремонт)</t>
  </si>
  <si>
    <t>обита железом</t>
  </si>
  <si>
    <t>фасад  (п.2,3)</t>
  </si>
  <si>
    <t>ямоч. Рем. (п.1-5)</t>
  </si>
  <si>
    <t>п.2 тамбур</t>
  </si>
  <si>
    <t>кв 13,17</t>
  </si>
  <si>
    <t>Швейцарская 18 к.2</t>
  </si>
  <si>
    <t>чердачные на П/П</t>
  </si>
  <si>
    <t>4 - подвал, 4 - кровля П/П</t>
  </si>
  <si>
    <t xml:space="preserve">(1,5 м2-кирп.кладка) </t>
  </si>
  <si>
    <t>п.6,8</t>
  </si>
  <si>
    <t>кв.83</t>
  </si>
  <si>
    <t>лоток (желоб) водоотведения</t>
  </si>
  <si>
    <t>п.1,2,4</t>
  </si>
  <si>
    <t>кв 44,85,98,99</t>
  </si>
  <si>
    <t>кв 45,13</t>
  </si>
  <si>
    <t>Швейцарская 6</t>
  </si>
  <si>
    <t>п.4,5,6</t>
  </si>
  <si>
    <t>Швейцарская 8 к.1</t>
  </si>
  <si>
    <t>Владимирская 18а</t>
  </si>
  <si>
    <t>Владимирская 20/2</t>
  </si>
  <si>
    <t>Владимирская 22</t>
  </si>
  <si>
    <t>30 м2-фасад  + 20пм - примык</t>
  </si>
  <si>
    <t>15 п.м - примыкание; 41 м2 -окр.фасада</t>
  </si>
  <si>
    <t>у п.2</t>
  </si>
  <si>
    <t>30 п.м. - примыкание</t>
  </si>
  <si>
    <t>п.1 кв 16</t>
  </si>
  <si>
    <t>Владимирская 26б</t>
  </si>
  <si>
    <t>кв 12</t>
  </si>
  <si>
    <t>кв 3,26,31</t>
  </si>
  <si>
    <t>п.1-4</t>
  </si>
  <si>
    <t>кв 28,44,56,60</t>
  </si>
  <si>
    <t>Дегтярева 25</t>
  </si>
  <si>
    <t>фасад</t>
  </si>
  <si>
    <t>Дегтярева 27</t>
  </si>
  <si>
    <t>4*2</t>
  </si>
  <si>
    <t>Дворцовый 31</t>
  </si>
  <si>
    <t>Дворцовый 32</t>
  </si>
  <si>
    <t>кв 2,6</t>
  </si>
  <si>
    <t>Дворцовый 34</t>
  </si>
  <si>
    <t>Дворцовый 36</t>
  </si>
  <si>
    <t>Дворцовый 49</t>
  </si>
  <si>
    <t>Дворцовый 51</t>
  </si>
  <si>
    <t>Дворцовы 51</t>
  </si>
  <si>
    <t>Дворцовый 53</t>
  </si>
  <si>
    <t>заплаты</t>
  </si>
  <si>
    <t>Дворцовый 59</t>
  </si>
  <si>
    <t>2 м2 -в арке</t>
  </si>
  <si>
    <t>Еленинская 9/1</t>
  </si>
  <si>
    <t>Еленинская 21</t>
  </si>
  <si>
    <t>кв 16</t>
  </si>
  <si>
    <t>Еленинская 29</t>
  </si>
  <si>
    <t>Еленинская 31</t>
  </si>
  <si>
    <t>Еленинская 32</t>
  </si>
  <si>
    <t xml:space="preserve">п.1,2 </t>
  </si>
  <si>
    <t>Иликовский 24а</t>
  </si>
  <si>
    <t>Иликовский 28</t>
  </si>
  <si>
    <t>Иликовский 30/2</t>
  </si>
  <si>
    <t>Костылева 10/19</t>
  </si>
  <si>
    <t>Иликовский 10/19</t>
  </si>
  <si>
    <t xml:space="preserve">п.1,2 - вх двери </t>
  </si>
  <si>
    <t>Костыоева 14</t>
  </si>
  <si>
    <t>Костылева 16</t>
  </si>
  <si>
    <t>окр. подокон.(п.2,4,5,6)</t>
  </si>
  <si>
    <t>Костылева 17</t>
  </si>
  <si>
    <t>п.1,2,3,6,7,</t>
  </si>
  <si>
    <t>угол цоколя п.2</t>
  </si>
  <si>
    <t>окраска труб</t>
  </si>
  <si>
    <t>Красноармейская 4</t>
  </si>
  <si>
    <t>вх дверь 2 шт</t>
  </si>
  <si>
    <t>вх дверь 1 шт</t>
  </si>
  <si>
    <t>вх дверь 4 шт</t>
  </si>
  <si>
    <t>вх дверь 3 шт</t>
  </si>
  <si>
    <t>вх дверь 5 шт</t>
  </si>
  <si>
    <t>вх дверь 7 шт</t>
  </si>
  <si>
    <t>Кронштадтская 4</t>
  </si>
  <si>
    <t>Кронштадсткая 4</t>
  </si>
  <si>
    <t>кв 8,12,16</t>
  </si>
  <si>
    <t>Кронштадсткая 4а</t>
  </si>
  <si>
    <t>кв 14,50,51</t>
  </si>
  <si>
    <t>,</t>
  </si>
  <si>
    <t>(п.1) подвал</t>
  </si>
  <si>
    <t>Кронштадтская 7</t>
  </si>
  <si>
    <t>Ломоносова 12а</t>
  </si>
  <si>
    <t>Ломоносова 14</t>
  </si>
  <si>
    <t xml:space="preserve"> (кв 14)  цоколь</t>
  </si>
  <si>
    <t>п.1 - 1эт</t>
  </si>
  <si>
    <t>Ломоносова 14а</t>
  </si>
  <si>
    <t>Михайловская 24/22</t>
  </si>
  <si>
    <t>Михайловская  24/22</t>
  </si>
  <si>
    <t>итп</t>
  </si>
  <si>
    <t>п.1-5 - ямочный</t>
  </si>
  <si>
    <t>каркас +сетка (ч.)</t>
  </si>
  <si>
    <t>каркас +сетка(п.)</t>
  </si>
  <si>
    <t>каркас +сетка (п.)</t>
  </si>
  <si>
    <t>п.1-4 - ямочный</t>
  </si>
  <si>
    <t>кирпич.кладка</t>
  </si>
  <si>
    <t xml:space="preserve"> спуск в подвал</t>
  </si>
  <si>
    <t>кв 3,10,55</t>
  </si>
  <si>
    <t>кв 24</t>
  </si>
  <si>
    <t>кв 24 (921.386-83-80)</t>
  </si>
  <si>
    <t>126 п.м. - примыкание</t>
  </si>
  <si>
    <t>142 п.м. - примыкание</t>
  </si>
  <si>
    <t>129 п.м. - примыкание</t>
  </si>
  <si>
    <t>п.1 слева</t>
  </si>
  <si>
    <t>вх.дверь 8 шт</t>
  </si>
  <si>
    <t>Победы 3</t>
  </si>
  <si>
    <t>восставновление кирпичной кладки</t>
  </si>
  <si>
    <t>Победы 5</t>
  </si>
  <si>
    <t>вх.дверь 2 шт</t>
  </si>
  <si>
    <t>вх.дверь 3 шт</t>
  </si>
  <si>
    <t>Победы 2</t>
  </si>
  <si>
    <t>Пулеметчиков 20</t>
  </si>
  <si>
    <t>п.4 с торца</t>
  </si>
  <si>
    <t>кв 22(мателл)</t>
  </si>
  <si>
    <t>Токарева 8</t>
  </si>
  <si>
    <t>входная зона</t>
  </si>
  <si>
    <t>п.1,3   кирпич.кладка</t>
  </si>
  <si>
    <t>Ж.Антоненко 6</t>
  </si>
  <si>
    <t>(дворницкие) замена на металл</t>
  </si>
  <si>
    <t>кв 22,28 (+ козырьки кв 25,28)</t>
  </si>
  <si>
    <t>кв 3, 30 (+ козырек кв 30)</t>
  </si>
  <si>
    <t>подвальные  (чердачные)  окна</t>
  </si>
  <si>
    <t>подпорные колонны</t>
  </si>
  <si>
    <t>дефлектор к мусоропроводу(кровля)</t>
  </si>
  <si>
    <t>кв 27,31,56</t>
  </si>
  <si>
    <t>выпадение кирпича</t>
  </si>
  <si>
    <t>плитка</t>
  </si>
  <si>
    <t>ямочный (оголилась арматура)</t>
  </si>
  <si>
    <t>кв 45 (Зап,Вост)</t>
  </si>
  <si>
    <t>кв 136(921.553-52-02; 964.329-94-13)</t>
  </si>
  <si>
    <t>п.9-14</t>
  </si>
  <si>
    <t>ступени, стены</t>
  </si>
  <si>
    <t>п.1 (со стор.пруда)</t>
  </si>
  <si>
    <t>кв 10,13,44</t>
  </si>
  <si>
    <t>кв 37</t>
  </si>
  <si>
    <t>лоток (желоб) водоотведения -3 шт)</t>
  </si>
  <si>
    <t>в колясочные</t>
  </si>
  <si>
    <t xml:space="preserve">п.4 эл/ щит, л/кл 5эт, </t>
  </si>
  <si>
    <t xml:space="preserve">лоток (желоб) в/отвед -3 шт), п.1 со стор.дет.площ. </t>
  </si>
  <si>
    <t>фасад, цоколь</t>
  </si>
  <si>
    <t>п.1  со стор. дороги</t>
  </si>
  <si>
    <t>Богумловская 13</t>
  </si>
  <si>
    <t>п.1,2,3</t>
  </si>
  <si>
    <t>кв 13 (над балконом)</t>
  </si>
  <si>
    <t>ступени, кладка</t>
  </si>
  <si>
    <t>кв 13,28,29,44,45,13</t>
  </si>
  <si>
    <t>прим в/к, л/кл., фан.-кв 58,60,7,8,10,13,44, п.3,4</t>
  </si>
  <si>
    <t>п.1, п.3,4 - вн.водосток, кв 29,30</t>
  </si>
  <si>
    <t>карнизный свес, смена покрытия</t>
  </si>
  <si>
    <t>24 м2- фасад ремонт кирпичной кладки</t>
  </si>
  <si>
    <t>Адресная программа текущего ремонта и восстановления</t>
  </si>
  <si>
    <t>разрушенных участков тротуаров, проездов, дорожек</t>
  </si>
  <si>
    <t xml:space="preserve">планировка, подсыпка (отсев) </t>
  </si>
  <si>
    <t xml:space="preserve">у  входной зоны </t>
  </si>
  <si>
    <t xml:space="preserve">входная зона </t>
  </si>
  <si>
    <t>кв 52 (над балконом)</t>
  </si>
  <si>
    <t>ремонт становой панели п.3</t>
  </si>
  <si>
    <t>Александровская 33</t>
  </si>
  <si>
    <t>цоколь+ (7м2 фасад штук. Окраска</t>
  </si>
  <si>
    <t>герм.силик.окон п.2 до 25.05.2018</t>
  </si>
  <si>
    <t>в подъезды, подвалы, над балконами верхних этажей на  2018 год</t>
  </si>
  <si>
    <t>кв. 55,70 (огражд.),65</t>
  </si>
  <si>
    <t>кв 36, п.3 торец поликлин</t>
  </si>
  <si>
    <t>кв 32,33,101,148,139</t>
  </si>
  <si>
    <t>кв. 12</t>
  </si>
  <si>
    <t>кв 7,10,13,28,30,45,48,40</t>
  </si>
  <si>
    <t>кв. 153</t>
  </si>
  <si>
    <t xml:space="preserve">торец, скол. На фасаде. </t>
  </si>
  <si>
    <t>Некрасова 1, к. 2</t>
  </si>
  <si>
    <t>кв. 148</t>
  </si>
  <si>
    <t>кв. 1,45,58,74</t>
  </si>
  <si>
    <t>кв 30,34</t>
  </si>
  <si>
    <t>л/кл п.2,кв. 60,28,</t>
  </si>
  <si>
    <t xml:space="preserve"> кв.13</t>
  </si>
  <si>
    <t>кв 52,60,65,69,72</t>
  </si>
  <si>
    <t>Победы, 32, к. 2</t>
  </si>
  <si>
    <t>32,70,90,106,142,144,176,178</t>
  </si>
  <si>
    <t>кв 1,7,9,26,30,33, 45,65,67,68</t>
  </si>
  <si>
    <t>кв 26,33,74,77,287,325</t>
  </si>
  <si>
    <t>кв. 15,57</t>
  </si>
  <si>
    <t>кв. 213</t>
  </si>
  <si>
    <t>кв. 23,26</t>
  </si>
  <si>
    <t>кв.13,44,59,63,71,75,85,88</t>
  </si>
  <si>
    <t>Швейцарская 8, к. 1</t>
  </si>
  <si>
    <t>кв.27,30</t>
  </si>
  <si>
    <t>Победы, 16/12</t>
  </si>
  <si>
    <t>кв. 103</t>
  </si>
  <si>
    <t>Ораниенбаумский  37, к. 1</t>
  </si>
  <si>
    <t>Ораниенбаумский, 21</t>
  </si>
  <si>
    <t>объем 
м2</t>
  </si>
  <si>
    <t>тыс. м2</t>
  </si>
  <si>
    <t>парадная № 2</t>
  </si>
  <si>
    <t>проезд</t>
  </si>
  <si>
    <t>ппр</t>
  </si>
  <si>
    <t>примыкание к цоколю</t>
  </si>
  <si>
    <t>ГЖИпримыкание к цоколю</t>
  </si>
  <si>
    <t>2 м2 -цоколь(05.07.18)</t>
  </si>
  <si>
    <t>ГЖИ примыкание к цоколю</t>
  </si>
  <si>
    <t>Ораниенбаумский 30</t>
  </si>
  <si>
    <t>Победы, 11</t>
  </si>
  <si>
    <t>кв.60</t>
  </si>
  <si>
    <t>кровельные ограждение</t>
  </si>
  <si>
    <t>подж. и герм.фальцев,прим к трубам</t>
  </si>
  <si>
    <t>карнизные свесы, прим к трубам</t>
  </si>
  <si>
    <t>окрытие парапета, смена покрытия</t>
  </si>
  <si>
    <t xml:space="preserve">Швейцарская, 9, </t>
  </si>
  <si>
    <t>рем козырька</t>
  </si>
  <si>
    <t>кв 3 пандус</t>
  </si>
  <si>
    <t>кв 9,48</t>
  </si>
  <si>
    <t>кв. 2, 3, 16, 17, 19, 24, 27, 29, 30, 31, 32, 33 ,46, 47, 48, 53, 61, 62 л/кл.5</t>
  </si>
  <si>
    <t>кв 1, 3, 4, 7, 9, 13, 17, 18, 21, 22, 25, 29, 53, 136, 228</t>
  </si>
  <si>
    <t>кв. 32, 38, 48, 69, 126, 275</t>
  </si>
  <si>
    <t xml:space="preserve">Швейцарская 16 к.1   </t>
  </si>
  <si>
    <t>рем. кирпичной кладки (в т.ч.возле балконов, кв. 22)</t>
  </si>
  <si>
    <t>004</t>
  </si>
  <si>
    <t>обещалка</t>
  </si>
  <si>
    <t>фасад  , цоколь</t>
  </si>
  <si>
    <t>цоколь и фасад Портал</t>
  </si>
  <si>
    <t>фасад кирпич и окраска цоколя</t>
  </si>
  <si>
    <t>Токарева,18а</t>
  </si>
  <si>
    <t>п.7 ремонт мусороприемной камеры (косметика: потолок + стены)</t>
  </si>
  <si>
    <t>замена на стеклопакеты</t>
  </si>
  <si>
    <t>поруч. п.1(инв) до 1 эт</t>
  </si>
  <si>
    <t>поруч. п.1-5 (инв) до 1 эт</t>
  </si>
  <si>
    <t>поруч. п.1-5 (инв) крыл.</t>
  </si>
  <si>
    <t>поруч. п.1-6(инв) до 1 эт</t>
  </si>
  <si>
    <t>восстанов.кирпич.кладки</t>
  </si>
  <si>
    <t>штукат оголовка</t>
  </si>
  <si>
    <t>п. 1  кллпак</t>
  </si>
  <si>
    <t xml:space="preserve"> колпак (кв 15)</t>
  </si>
  <si>
    <t>восстанов.кирпич.кладки,(кв 10)</t>
  </si>
  <si>
    <t>штукат ГЖИ до 30.03.18</t>
  </si>
  <si>
    <t>колпак ГЖИ до 30.03.18</t>
  </si>
  <si>
    <t xml:space="preserve"> флюг - 11</t>
  </si>
  <si>
    <t>и замены дефлекторов, оголовков труб на 2018 г.</t>
  </si>
  <si>
    <t xml:space="preserve">Ораниенбаумский 21 </t>
  </si>
  <si>
    <t>п/п двери на чердак и кровлю</t>
  </si>
  <si>
    <t>входная дверь в подъезд</t>
  </si>
  <si>
    <t>Федюнинского,16</t>
  </si>
  <si>
    <t>дверь П/П выход на чердак 1,3,5 под.</t>
  </si>
  <si>
    <t>вертиикальный шов</t>
  </si>
  <si>
    <t>где 24 кв</t>
  </si>
  <si>
    <t>Адресная программа</t>
  </si>
  <si>
    <t xml:space="preserve">Адресная программа текущего ремонта по  герметизации                                                                                                          стыков стеновых панелей   на 2018 год  ООО  "ЖКС г. Ломоносова" </t>
  </si>
  <si>
    <t xml:space="preserve">ст-сть                             тыс. руб. </t>
  </si>
  <si>
    <t xml:space="preserve">ст-сть                                  тыс. руб. </t>
  </si>
  <si>
    <t>Адресная программа текущего ремонта фасадов жилых домов                                                                                                                                      ООО "ЖКС г. Ломоносова" на 2018 год.</t>
  </si>
  <si>
    <t>Александровская,20/16</t>
  </si>
  <si>
    <t>Александровская,22/17</t>
  </si>
  <si>
    <t>Победы,12</t>
  </si>
  <si>
    <t>Адресная программа  текущего ремонта по замене водосточных труб                                                                         ООО "ЖКС г. Ломоносова" на 2018 год.</t>
  </si>
  <si>
    <t>Адресная программа текущего ремонта  окон на 2018 год</t>
  </si>
  <si>
    <t>выпадание кирпича на углу дома</t>
  </si>
  <si>
    <t>цоколь, фасад</t>
  </si>
  <si>
    <t>Ломоносова 12</t>
  </si>
  <si>
    <t xml:space="preserve">цоколь и фасад </t>
  </si>
  <si>
    <t>цлклль</t>
  </si>
  <si>
    <t>ремонт и окраска цоколя ГЖИ</t>
  </si>
  <si>
    <t>цоколь - портал 3 кв 2018</t>
  </si>
  <si>
    <t xml:space="preserve"> спуск в подвал портал 3 кв 2018</t>
  </si>
  <si>
    <t>Сафронова 3</t>
  </si>
  <si>
    <t>49 м2 (окр.фас.); 2 м2 (угл.у в/труб);  100пм-примык</t>
  </si>
  <si>
    <t>ГЖИ -170 п.м. прим + 6 м2 штук цок  (05.07.18)</t>
  </si>
  <si>
    <t>доп</t>
  </si>
  <si>
    <t>штукат оголовка,колпак</t>
  </si>
  <si>
    <t>восстанов.кирпич.кладки,колпак</t>
  </si>
  <si>
    <t>штукат оголовка, колпак</t>
  </si>
  <si>
    <t>штакат.оголовка, колпак</t>
  </si>
  <si>
    <t xml:space="preserve">          "Согласовано"</t>
  </si>
  <si>
    <t xml:space="preserve">           Директор ГКУ "ЖА </t>
  </si>
  <si>
    <t>Заместитель главы Администрации</t>
  </si>
  <si>
    <t xml:space="preserve">           Петродворцового района </t>
  </si>
  <si>
    <t xml:space="preserve">Петродворцового района </t>
  </si>
  <si>
    <t xml:space="preserve">           Санкт-Петербурга"</t>
  </si>
  <si>
    <t>Санкт-Петербурга</t>
  </si>
  <si>
    <t>_______________ В. И. Горбачёв</t>
  </si>
  <si>
    <t>_________________Н.А. Дмитриева</t>
  </si>
  <si>
    <t>_________________________2018г.</t>
  </si>
  <si>
    <t xml:space="preserve"> План текущего ремонта на 2018 год  ООО "ЖКС г. Ломоносова"</t>
  </si>
  <si>
    <t>Код</t>
  </si>
  <si>
    <t>Наименование работ</t>
  </si>
  <si>
    <t>ед.изм.</t>
  </si>
  <si>
    <t>Всего на         2018 г.</t>
  </si>
  <si>
    <t>Текущий ремонт, выполняемый за счет средств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</si>
  <si>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</si>
  <si>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Текущий ремонт, выполняемый за счет средств М.О.</t>
  </si>
  <si>
    <t>Текущий ремонт, выполняемый за счет внебюджетных источников</t>
  </si>
  <si>
    <t>ПЛАН                  Всего                           на 2017г.</t>
  </si>
  <si>
    <t>ВЫПОЛНЕНО    Всего                                   за 2017 года</t>
  </si>
  <si>
    <t>Платы населения 
(работы, выполняемые 
ОАО "Жилкомсервис")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</si>
  <si>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</si>
  <si>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</si>
  <si>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 xml:space="preserve">Всего </t>
  </si>
  <si>
    <t>хоз.сп.</t>
  </si>
  <si>
    <t>подр.сп</t>
  </si>
  <si>
    <t>под.сп.</t>
  </si>
  <si>
    <t>I.</t>
  </si>
  <si>
    <t>ОБЩЕСТРОИТЕЛЬНЫЕ РАБОТЫ</t>
  </si>
  <si>
    <t>Ремонт кровли (А.П.)</t>
  </si>
  <si>
    <t>к-во домов</t>
  </si>
  <si>
    <t>т.кв.м</t>
  </si>
  <si>
    <t>в том числе,</t>
  </si>
  <si>
    <t>1.1</t>
  </si>
  <si>
    <t>жесткой</t>
  </si>
  <si>
    <t>1.2</t>
  </si>
  <si>
    <t>мягкой</t>
  </si>
  <si>
    <t>1.3</t>
  </si>
  <si>
    <t>Усиление элементов деревянной строп. системы</t>
  </si>
  <si>
    <t>2.</t>
  </si>
  <si>
    <t>Нормализация ТВР чердачных помещений, (А.П.)  всего, в  том числе:</t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</si>
  <si>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</si>
  <si>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</si>
  <si>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</si>
  <si>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</si>
  <si>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 отопления (по всей разводке)</t>
  </si>
  <si>
    <t>п.м</t>
  </si>
  <si>
    <t>2.3.</t>
  </si>
  <si>
    <t>2.4.</t>
  </si>
  <si>
    <t>Ремонт и замена слуховых окон</t>
  </si>
  <si>
    <t>2.5.</t>
  </si>
  <si>
    <t>Прочие работы (ремонт вентиляционных и дымоходных каналов и т.д.)</t>
  </si>
  <si>
    <t>3</t>
  </si>
  <si>
    <t>Герметизация стыков стеновых панелей</t>
  </si>
  <si>
    <t>т.п.м</t>
  </si>
  <si>
    <t>4</t>
  </si>
  <si>
    <t>Ремонт и окраска фасадов</t>
  </si>
  <si>
    <t>5</t>
  </si>
  <si>
    <t>Косметический ремонт лестничных клеток (А.П.)</t>
  </si>
  <si>
    <t>л/кл</t>
  </si>
  <si>
    <t>6</t>
  </si>
  <si>
    <t>Восстановление отделки стен, потолков технических помещений</t>
  </si>
  <si>
    <t>7</t>
  </si>
  <si>
    <t>Замена, восстановление отдельных учасктов полов, ступеней МОП и технических помещений</t>
  </si>
  <si>
    <t>8</t>
  </si>
  <si>
    <t xml:space="preserve">Замена водосточных труб </t>
  </si>
  <si>
    <t>9</t>
  </si>
  <si>
    <t>Замена водосточных труб на антивандальные</t>
  </si>
  <si>
    <t>10</t>
  </si>
  <si>
    <t xml:space="preserve">Ремонт отмостки </t>
  </si>
  <si>
    <t>11</t>
  </si>
  <si>
    <t xml:space="preserve">Замена и восстановление дверных заплонений  </t>
  </si>
  <si>
    <t>12</t>
  </si>
  <si>
    <t>Установка металлических дверей, решеток</t>
  </si>
  <si>
    <t>13</t>
  </si>
  <si>
    <t>Замена и восстановление оконных заполнений</t>
  </si>
  <si>
    <t>14</t>
  </si>
  <si>
    <t>Ремонт балконов, козырьков в подъезды, подвалы, над балконами верхних этажей</t>
  </si>
  <si>
    <t>15</t>
  </si>
  <si>
    <t>Ремонт мусоропроводов (шиберов, стволов, клапанов), всего</t>
  </si>
  <si>
    <t>16</t>
  </si>
  <si>
    <t>Ремонт печей</t>
  </si>
  <si>
    <t>17</t>
  </si>
  <si>
    <t>Устранение местных деформаций, усиление, восстановление поврежденных участков фундаментов</t>
  </si>
  <si>
    <t>тыс.кв.м</t>
  </si>
  <si>
    <t>18</t>
  </si>
  <si>
    <t>Ремонт приямков, входов в подвалы</t>
  </si>
  <si>
    <t>19</t>
  </si>
  <si>
    <t>Ремонт и замена дефлекторов, оголовков труб</t>
  </si>
  <si>
    <t>20</t>
  </si>
  <si>
    <t>Замена и восстановление работоспособности внутридомовой системы вентиляции</t>
  </si>
  <si>
    <t>тыс.п.м</t>
  </si>
  <si>
    <t>21</t>
  </si>
  <si>
    <t>Ремонт и восстановление разрушенных участков тротуаров, проездов, дорожек</t>
  </si>
  <si>
    <t>II.</t>
  </si>
  <si>
    <t>САНИТАРНО-ТЕХНИЧЕСКИЕ РАБОТЫ</t>
  </si>
  <si>
    <t>22</t>
  </si>
  <si>
    <t>Ремонт трубопроводов, всего, в том числе:</t>
  </si>
  <si>
    <t>22.1</t>
  </si>
  <si>
    <t>ГВС</t>
  </si>
  <si>
    <t>т.п.м.</t>
  </si>
  <si>
    <t>22.2</t>
  </si>
  <si>
    <t>ХВС</t>
  </si>
  <si>
    <t>22.3</t>
  </si>
  <si>
    <t>теплоснабжения</t>
  </si>
  <si>
    <t>22.4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</si>
  <si>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</si>
  <si>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</si>
  <si>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</si>
  <si>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</si>
  <si>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систем Ц/О, ГВС, ХВС </t>
  </si>
  <si>
    <t>III.</t>
  </si>
  <si>
    <t>ЭЛЕКТРОМОНТАЖНЫЕ РАБОТЫ</t>
  </si>
  <si>
    <t>Замена и ремонт электропроводки проводки</t>
  </si>
  <si>
    <t>Замена и ремонт аппаратов защиты, замена установочной арматуры</t>
  </si>
  <si>
    <t>т.шт.</t>
  </si>
  <si>
    <t>27</t>
  </si>
  <si>
    <t>Ремонт ГРЩ ВУ, ВРУ, ЭЩ и т.д.</t>
  </si>
  <si>
    <t>IV.</t>
  </si>
  <si>
    <t>РАБОТЫ ВЫПОЛНЯЕМЫЕ СПЕЦИАЛИЗИРОВАННЫМИ ОРГАНИЗАЦИЯМИ</t>
  </si>
  <si>
    <t>28</t>
  </si>
  <si>
    <r>
      <t>Антисептирование</t>
    </r>
    <r>
      <rPr>
        <sz val="10"/>
        <rFont val="Times New Roman Cyr"/>
        <family val="1"/>
      </rPr>
      <t xml:space="preserve"> деревянной стропильной системы</t>
    </r>
  </si>
  <si>
    <t>29</t>
  </si>
  <si>
    <r>
      <t>Антиперирование</t>
    </r>
    <r>
      <rPr>
        <sz val="10"/>
        <rFont val="Times New Roman Cyr"/>
        <family val="1"/>
      </rPr>
      <t xml:space="preserve"> деревянной стропильной системы</t>
    </r>
  </si>
  <si>
    <t>30</t>
  </si>
  <si>
    <t>Аварийно-восстановительные работы (не менее 10%)</t>
  </si>
  <si>
    <t>ИТОГО ПО ТЕКУЩЕМУ РЕМОНТУ:</t>
  </si>
  <si>
    <t>ДРУГИЕ РАБОТЫ ПО СОДЕРЖАНИЮ ЖИЛИЩНОГО ФОНДА</t>
  </si>
  <si>
    <t>Замена почтовых ящиков</t>
  </si>
  <si>
    <t>2</t>
  </si>
  <si>
    <t>Установка урн</t>
  </si>
  <si>
    <t>Установка скамеек</t>
  </si>
  <si>
    <t>Озеленение и газоны</t>
  </si>
  <si>
    <t xml:space="preserve">Снос деревьев </t>
  </si>
  <si>
    <t>Ремонт и замена вторичных сетей</t>
  </si>
  <si>
    <t>Осушение подвалов</t>
  </si>
  <si>
    <t>ед.</t>
  </si>
  <si>
    <t>Замена номерных знаков</t>
  </si>
  <si>
    <t>Организация мест консъержей</t>
  </si>
  <si>
    <t>мест</t>
  </si>
  <si>
    <t>Комплексное техническое обслуживание и ремонт систем АППЗ,</t>
  </si>
  <si>
    <t>10.1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</si>
  <si>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</si>
  <si>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</si>
  <si>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</si>
  <si>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Замер сопротивления изоляции электропроводов</t>
  </si>
  <si>
    <t>Техническое обслуживание внутридомового газового оборудования</t>
  </si>
  <si>
    <t>Комплексное техническое обслуживание ОДС</t>
  </si>
  <si>
    <t>Комплексное техническое обслуживание и ремонт лифтов, всего</t>
  </si>
  <si>
    <t>16.1</t>
  </si>
  <si>
    <t xml:space="preserve">в том числе аварийно-восстановительные работы, в т.ч: </t>
  </si>
  <si>
    <t>16.1.1</t>
  </si>
  <si>
    <t>после хищений</t>
  </si>
  <si>
    <t>16.1.2</t>
  </si>
  <si>
    <t>после пожаров и взрывов</t>
  </si>
  <si>
    <t>16.1.3</t>
  </si>
  <si>
    <t>Замена узлов оборудования</t>
  </si>
  <si>
    <t>16.2</t>
  </si>
  <si>
    <t xml:space="preserve">Установка УБ </t>
  </si>
  <si>
    <t>Платные услуги, всего в том числе</t>
  </si>
  <si>
    <t>17.1</t>
  </si>
  <si>
    <t>предоставляемые населению</t>
  </si>
  <si>
    <t xml:space="preserve">Восстановление освещения,       всего, </t>
  </si>
  <si>
    <t>в том числе:</t>
  </si>
  <si>
    <t>18.1</t>
  </si>
  <si>
    <t>фасадов</t>
  </si>
  <si>
    <t>18.2</t>
  </si>
  <si>
    <t>дворов</t>
  </si>
  <si>
    <t>18.3</t>
  </si>
  <si>
    <t>арок</t>
  </si>
  <si>
    <t>18.4</t>
  </si>
  <si>
    <t>подъездов</t>
  </si>
  <si>
    <t>18.5</t>
  </si>
  <si>
    <t>лестничных клеток</t>
  </si>
  <si>
    <t>18.6</t>
  </si>
  <si>
    <t>чердаков</t>
  </si>
  <si>
    <t>18.7</t>
  </si>
  <si>
    <t>подвалов</t>
  </si>
  <si>
    <t>18.8</t>
  </si>
  <si>
    <t>номерных знаков</t>
  </si>
  <si>
    <t>Генеральный директор ООО "ЖКС г. Ломоносова"</t>
  </si>
  <si>
    <t>В.Н. Шмелёва</t>
  </si>
  <si>
    <t>Начальник планово экономического отдела</t>
  </si>
  <si>
    <t>Н. Г. Купцова</t>
  </si>
  <si>
    <t>Л. Д.Чирва</t>
  </si>
  <si>
    <t>Форма 1</t>
  </si>
  <si>
    <t>Форма 3</t>
  </si>
  <si>
    <t xml:space="preserve">Теккущий ремонт выполняемый за счет средств платы населения </t>
  </si>
  <si>
    <t>_______________ В. Н. Шмелева</t>
  </si>
  <si>
    <t>"_____"________________ 2018 г.</t>
  </si>
  <si>
    <t>"_____"__________________2018г.</t>
  </si>
  <si>
    <t xml:space="preserve">Генеральный директор </t>
  </si>
  <si>
    <t>ООО "ЖКС г.Ломоносова"</t>
  </si>
  <si>
    <t>"УТВЕРЖДАЮ"</t>
  </si>
  <si>
    <t>СОГЛАСОВАНО</t>
  </si>
  <si>
    <t>5.1</t>
  </si>
  <si>
    <t>7.1</t>
  </si>
  <si>
    <t>7.1.1</t>
  </si>
  <si>
    <t>7.1.2</t>
  </si>
  <si>
    <t>7.1.3</t>
  </si>
  <si>
    <t>7.2</t>
  </si>
  <si>
    <t>8.1</t>
  </si>
  <si>
    <t>9.1</t>
  </si>
  <si>
    <t>9.2</t>
  </si>
  <si>
    <t>9.3</t>
  </si>
  <si>
    <t>9.4</t>
  </si>
  <si>
    <t>9.5</t>
  </si>
  <si>
    <t>9.6</t>
  </si>
  <si>
    <t>9.7</t>
  </si>
  <si>
    <t>9.8</t>
  </si>
  <si>
    <t>Исполнитель</t>
  </si>
  <si>
    <t>Новикова О.Н.</t>
  </si>
  <si>
    <t>422-49-46 (911-841-72-02)</t>
  </si>
  <si>
    <t xml:space="preserve">План текущего ремонта общего имущества в многоквартирных домах ООО "ЖКС г. Ломоносова"  на  2018 год  </t>
  </si>
  <si>
    <t>п. 9</t>
  </si>
  <si>
    <t xml:space="preserve">S </t>
  </si>
  <si>
    <t xml:space="preserve">Лестничная клетка  1 </t>
  </si>
  <si>
    <t>Лестничная клетка  2</t>
  </si>
  <si>
    <t>Лестничная клетка  3</t>
  </si>
  <si>
    <t>Лестничная клетка  4</t>
  </si>
  <si>
    <t>Лестничная клетка  5</t>
  </si>
  <si>
    <t>Лестничная клетка  6</t>
  </si>
  <si>
    <t>Лестничная клетка  7</t>
  </si>
  <si>
    <t>Лестничная клетка  8</t>
  </si>
  <si>
    <t>9.9</t>
  </si>
  <si>
    <t>9.10</t>
  </si>
  <si>
    <t>9.11</t>
  </si>
  <si>
    <t>9.12</t>
  </si>
  <si>
    <t>9.13</t>
  </si>
  <si>
    <t>9.14</t>
  </si>
  <si>
    <t>9.15</t>
  </si>
  <si>
    <t>т. 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</si>
</sst>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\ _₽_-;\-* #,##0.00\ _₽_-;_-* &quot;-&quot;??\ _₽_-;_-@_-"/>
    <numFmt numFmtId="164" formatCode="#,##0.000"/>
    <numFmt numFmtId="165" formatCode="0.000"/>
    <numFmt numFmtId="166" formatCode="_-* #,##0.000_р_._-;\-* #,##0.000_р_._-;_-* &quot;-&quot;???_р_._-;_-@_-"/>
    <numFmt numFmtId="167" formatCode="_-* #,##0.000\ _₽_-;\-* #,##0.000\ _₽_-;_-* &quot;-&quot;???\ _₽_-;_-@_-"/>
    <numFmt numFmtId="168" formatCode="_-* #,##0.00000\ _₽_-;\-* #,##0.00000\ _₽_-;_-* &quot;-&quot;???\ _₽_-;_-@_-"/>
    <numFmt numFmtId="169" formatCode="_-* #,##0.0000000\ _₽_-;\-* #,##0.0000000\ _₽_-;_-* &quot;-&quot;???\ _₽_-;_-@_-"/>
    <numFmt numFmtId="170" formatCode="_-* #,##0.000000\ _₽_-;\-* #,##0.000000\ _₽_-;_-* &quot;-&quot;???\ _₽_-;_-@_-"/>
    <numFmt numFmtId="171" formatCode="#,##0.000\ _₽"/>
    <numFmt numFmtId="172" formatCode="0.0"/>
    <numFmt numFmtId="173" formatCode="_-* #,##0.000_р_._-;\-* #,##0.000_р_._-;_-* &quot;-&quot;_р_._-;_-@_-"/>
    <numFmt numFmtId="174" formatCode="_-* #,##0.00_р_._-;\-* #,##0.00_р_._-;_-* &quot;-&quot;??_р_._-;_-@_-"/>
    <numFmt numFmtId="175" formatCode="_-* #,##0.000\ _₽_-;\-* #,##0.000\ _₽_-;_-* &quot;-&quot;??\ _₽_-;_-@_-"/>
    <numFmt numFmtId="176" formatCode="_-* #,##0\ _₽_-;\-* #,##0\ _₽_-;_-* &quot;-&quot;??\ _₽_-;_-@_-"/>
    <numFmt numFmtId="177" formatCode="_-* #,##0\ _₽_-;\-* #,##0\ _₽_-;_-* &quot;-&quot;???\ _₽_-;_-@_-"/>
    <numFmt numFmtId="178" formatCode="_-* #,##0.00\ _₽_-;\-* #,##0.00\ _₽_-;_-* &quot;-&quot;???\ _₽_-;_-@_-"/>
    <numFmt numFmtId="179" formatCode="_-* #,##0.0\ _₽_-;\-* #,##0.0\ _₽_-;_-* &quot;-&quot;???\ _₽_-;_-@_-"/>
    <numFmt numFmtId="180" formatCode="_-* #,##0.000000\ _₽_-;\-* #,##0.000000\ _₽_-;_-* &quot;-&quot;??\ _₽_-;_-@_-"/>
    <numFmt numFmtId="181" formatCode="_-* #,##0.000_р_._-;\-* #,##0.000_р_._-;_-* &quot;-&quot;??_р_._-;_-@_-"/>
    <numFmt numFmtId="182" formatCode="_-* #,##0.0000\ _₽_-;\-* #,##0.0000\ _₽_-;_-* &quot;-&quot;??\ _₽_-;_-@_-"/>
  </numFmts>
  <fonts count="97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2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Arial Cyr"/>
      <family val="2"/>
    </font>
    <font>
      <sz val="11"/>
      <color theme="1"/>
      <name val="Arial"/>
      <family val="2"/>
    </font>
    <font>
      <u val="single"/>
      <sz val="11"/>
      <color theme="1"/>
      <name val="Times New Roman"/>
      <family val="1"/>
    </font>
    <font>
      <sz val="10"/>
      <color theme="1"/>
      <name val="Arial Cyr"/>
      <family val="2"/>
    </font>
    <font>
      <sz val="10"/>
      <color rgb="FFC00000"/>
      <name val="Arial Cyr"/>
      <family val="2"/>
    </font>
    <font>
      <b/>
      <sz val="10"/>
      <color indexed="10"/>
      <name val="Times New Roman"/>
      <family val="1"/>
    </font>
    <font>
      <b/>
      <sz val="10"/>
      <name val="Arial Cyr"/>
      <family val="2"/>
    </font>
    <font>
      <sz val="12"/>
      <color rgb="FFFF0000"/>
      <name val="Times New Roman"/>
      <family val="1"/>
    </font>
    <font>
      <sz val="10"/>
      <color rgb="FFFF0000"/>
      <name val="Arial Cyr"/>
      <family val="2"/>
    </font>
    <font>
      <b/>
      <sz val="10"/>
      <color rgb="FFFF0000"/>
      <name val="Arial Cyr"/>
      <family val="2"/>
    </font>
    <font>
      <b/>
      <sz val="10"/>
      <color rgb="FFC00000"/>
      <name val="Times New Roman"/>
      <family val="1"/>
    </font>
    <font>
      <b/>
      <sz val="10"/>
      <color theme="1"/>
      <name val="Times New Roman"/>
      <family val="1"/>
    </font>
    <font>
      <sz val="6"/>
      <color theme="1"/>
      <name val="Arial Cyr"/>
      <family val="2"/>
    </font>
    <font>
      <i/>
      <sz val="12"/>
      <name val="Times New Roman"/>
      <family val="1"/>
    </font>
    <font>
      <b/>
      <sz val="11"/>
      <name val="Arial"/>
      <family val="2"/>
    </font>
    <font>
      <sz val="10"/>
      <color rgb="FFFF0000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theme="1"/>
      <name val="Times New Roman"/>
      <family val="1"/>
    </font>
    <font>
      <sz val="12"/>
      <name val="Arial Cyr"/>
      <family val="2"/>
    </font>
    <font>
      <b/>
      <sz val="12"/>
      <name val="Arial"/>
      <family val="2"/>
    </font>
    <font>
      <b/>
      <sz val="10"/>
      <color rgb="FFC00000"/>
      <name val="Arial Cyr"/>
      <family val="2"/>
    </font>
    <font>
      <b/>
      <sz val="16"/>
      <name val="Times New Roman"/>
      <family val="1"/>
    </font>
    <font>
      <b/>
      <sz val="12"/>
      <color rgb="FFC00000"/>
      <name val="Times New Roman"/>
      <family val="1"/>
    </font>
    <font>
      <sz val="9"/>
      <color rgb="FFC00000"/>
      <name val="Times New Roman"/>
      <family val="1"/>
    </font>
    <font>
      <sz val="12"/>
      <color rgb="FFC00000"/>
      <name val="Times New Roman"/>
      <family val="1"/>
    </font>
    <font>
      <sz val="10"/>
      <color rgb="FFC00000"/>
      <name val="Times New Roman"/>
      <family val="1"/>
    </font>
    <font>
      <b/>
      <sz val="10"/>
      <color rgb="FFFF0000"/>
      <name val="Microsoft New Tai Lue"/>
      <family val="2"/>
    </font>
    <font>
      <sz val="10"/>
      <color theme="1"/>
      <name val="Microsoft New Tai Lue"/>
      <family val="2"/>
    </font>
    <font>
      <sz val="9"/>
      <color theme="1"/>
      <name val="Microsoft New Tai Lue"/>
      <family val="2"/>
    </font>
    <font>
      <sz val="11"/>
      <color rgb="FF7030A0"/>
      <name val="Arial Cyr"/>
      <family val="2"/>
    </font>
    <font>
      <sz val="11"/>
      <color rgb="FFFF0000"/>
      <name val="Times New Roman"/>
      <family val="1"/>
    </font>
    <font>
      <sz val="11"/>
      <color rgb="FFFF0000"/>
      <name val="Arial Cyr"/>
      <family val="2"/>
    </font>
    <font>
      <sz val="8"/>
      <color rgb="FF7030A0"/>
      <name val="Arial Cyr"/>
      <family val="2"/>
    </font>
    <font>
      <b/>
      <sz val="8"/>
      <color rgb="FF7030A0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Arial Cyr"/>
      <family val="2"/>
    </font>
    <font>
      <sz val="8"/>
      <color theme="1"/>
      <name val="Microsoft New Tai Lue"/>
      <family val="2"/>
    </font>
    <font>
      <b/>
      <sz val="8"/>
      <color rgb="FFFF0000"/>
      <name val="Times New Roman"/>
      <family val="1"/>
    </font>
    <font>
      <sz val="6"/>
      <name val="Arial Cyr"/>
      <family val="2"/>
    </font>
    <font>
      <sz val="6"/>
      <color rgb="FF7030A0"/>
      <name val="Arial Cyr"/>
      <family val="2"/>
    </font>
    <font>
      <sz val="6"/>
      <color rgb="FFFF0000"/>
      <name val="Arial Cyr"/>
      <family val="2"/>
    </font>
    <font>
      <b/>
      <sz val="11"/>
      <color theme="1"/>
      <name val="Times New Roman"/>
      <family val="1"/>
    </font>
    <font>
      <sz val="9"/>
      <color rgb="FFFF0000"/>
      <name val="Times New Roman"/>
      <family val="1"/>
    </font>
    <font>
      <sz val="9"/>
      <name val="Arial Cyr"/>
      <family val="2"/>
    </font>
    <font>
      <b/>
      <sz val="12"/>
      <name val="Times New Roman Cyr"/>
      <family val="1"/>
    </font>
    <font>
      <sz val="10"/>
      <name val="Khmer UI"/>
      <family val="2"/>
    </font>
    <font>
      <b/>
      <sz val="8"/>
      <color theme="1"/>
      <name val="Times New Roman"/>
      <family val="1"/>
    </font>
    <font>
      <sz val="9"/>
      <color rgb="FFFF0000"/>
      <name val="Arial Cyr"/>
      <family val="2"/>
    </font>
    <font>
      <sz val="18"/>
      <name val="Times New Roman"/>
      <family val="1"/>
    </font>
    <font>
      <sz val="12"/>
      <color rgb="FF0000FF"/>
      <name val="Times New Roman"/>
      <family val="1"/>
    </font>
    <font>
      <sz val="9"/>
      <color theme="1"/>
      <name val="Arial Cyr"/>
      <family val="2"/>
    </font>
    <font>
      <i/>
      <sz val="11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10"/>
      <color theme="0" tint="-0.04997999966144562"/>
      <name val="Times New Roman Cyr"/>
      <family val="1"/>
    </font>
    <font>
      <b/>
      <sz val="10"/>
      <color theme="0" tint="-0.04997999966144562"/>
      <name val="Times New Roman Cyr"/>
      <family val="1"/>
    </font>
    <font>
      <sz val="10"/>
      <color theme="1"/>
      <name val="Times New Roman Cyr"/>
      <family val="1"/>
    </font>
    <font>
      <b/>
      <sz val="14"/>
      <name val="Times New Roman Cyr"/>
      <family val="1"/>
    </font>
    <font>
      <b/>
      <sz val="9"/>
      <name val="Times New Roman Cyr"/>
      <family val="1"/>
    </font>
    <font>
      <sz val="12"/>
      <name val="Times New Roman Cyr"/>
      <family val="1"/>
    </font>
    <font>
      <sz val="7.5"/>
      <name val="Times New Roman Cyr"/>
      <family val="1"/>
    </font>
    <font>
      <sz val="9"/>
      <name val="Times New Roman Cyr"/>
      <family val="1"/>
    </font>
    <font>
      <b/>
      <sz val="9"/>
      <name val="Arial Cyr"/>
      <family val="2"/>
    </font>
    <font>
      <b/>
      <sz val="10"/>
      <name val="PMingLiU-ExtB"/>
      <family val="1"/>
    </font>
    <font>
      <sz val="8"/>
      <name val="Times New Roman Cyr"/>
      <family val="1"/>
    </font>
    <font>
      <sz val="8"/>
      <name val="Times New Roman CYR"/>
      <family val="2"/>
    </font>
    <font>
      <b/>
      <sz val="14"/>
      <name val="Times New Roman"/>
      <family val="1"/>
    </font>
    <font>
      <b/>
      <sz val="10.5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thin"/>
      <right/>
      <top/>
      <bottom style="medium"/>
    </border>
    <border>
      <left style="medium"/>
      <right style="medium"/>
      <top style="thin"/>
      <bottom/>
    </border>
    <border>
      <left style="medium"/>
      <right/>
      <top/>
      <bottom/>
    </border>
    <border>
      <left style="medium"/>
      <right style="thin"/>
      <top/>
      <bottom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/>
      <right/>
      <top style="thin"/>
      <bottom style="medium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/>
      <right/>
      <top style="thin"/>
      <bottom/>
    </border>
    <border>
      <left style="medium"/>
      <right style="hair"/>
      <top style="medium"/>
      <bottom style="thin"/>
    </border>
    <border>
      <left style="medium"/>
      <right style="hair"/>
      <top style="thin"/>
      <bottom/>
    </border>
    <border>
      <left style="thin"/>
      <right/>
      <top style="medium"/>
      <bottom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</cellStyleXfs>
  <cellXfs count="2209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>
      <alignment horizontal="center" vertical="center"/>
    </xf>
    <xf numFmtId="0" fontId="9" fillId="0" borderId="2" xfId="0" applyFont="1" applyFill="1" applyBorder="1"/>
    <xf numFmtId="0" fontId="5" fillId="0" borderId="3" xfId="0" applyFont="1" applyFill="1" applyBorder="1"/>
    <xf numFmtId="0" fontId="9" fillId="0" borderId="0" xfId="0" applyFont="1" applyFill="1" applyBorder="1"/>
    <xf numFmtId="0" fontId="5" fillId="0" borderId="0" xfId="0" applyFont="1" applyFill="1" applyBorder="1"/>
    <xf numFmtId="1" fontId="5" fillId="0" borderId="0" xfId="0" applyNumberFormat="1" applyFont="1" applyFill="1" applyBorder="1"/>
    <xf numFmtId="165" fontId="5" fillId="0" borderId="0" xfId="0" applyNumberFormat="1" applyFont="1" applyFill="1" applyBorder="1"/>
    <xf numFmtId="164" fontId="5" fillId="0" borderId="0" xfId="0" applyNumberFormat="1" applyFont="1" applyFill="1" applyBorder="1"/>
    <xf numFmtId="0" fontId="0" fillId="0" borderId="0" xfId="0" applyFill="1"/>
    <xf numFmtId="164" fontId="0" fillId="0" borderId="0" xfId="0" applyNumberFormat="1" applyFill="1"/>
    <xf numFmtId="0" fontId="0" fillId="0" borderId="0" xfId="0" applyFill="1" applyBorder="1"/>
    <xf numFmtId="0" fontId="0" fillId="0" borderId="0" xfId="0" applyBorder="1"/>
    <xf numFmtId="3" fontId="12" fillId="0" borderId="0" xfId="0" applyNumberFormat="1" applyFont="1" applyFill="1" applyBorder="1"/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left"/>
    </xf>
    <xf numFmtId="165" fontId="0" fillId="0" borderId="0" xfId="0" applyNumberFormat="1"/>
    <xf numFmtId="1" fontId="0" fillId="0" borderId="0" xfId="0" applyNumberFormat="1"/>
    <xf numFmtId="0" fontId="3" fillId="0" borderId="0" xfId="0" applyFont="1"/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9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165" fontId="11" fillId="0" borderId="13" xfId="0" applyNumberFormat="1" applyFont="1" applyFill="1" applyBorder="1" applyAlignment="1">
      <alignment horizontal="right" vertical="center"/>
    </xf>
    <xf numFmtId="165" fontId="11" fillId="0" borderId="14" xfId="0" applyNumberFormat="1" applyFont="1" applyFill="1" applyBorder="1" applyAlignment="1">
      <alignment horizontal="right" vertical="center" wrapText="1"/>
    </xf>
    <xf numFmtId="165" fontId="11" fillId="0" borderId="15" xfId="0" applyNumberFormat="1" applyFont="1" applyFill="1" applyBorder="1" applyAlignment="1">
      <alignment horizontal="right" vertical="center" wrapText="1"/>
    </xf>
    <xf numFmtId="0" fontId="14" fillId="0" borderId="0" xfId="0" applyFont="1"/>
    <xf numFmtId="2" fontId="11" fillId="0" borderId="16" xfId="0" applyNumberFormat="1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2" fontId="11" fillId="0" borderId="18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165" fontId="15" fillId="0" borderId="6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5" fillId="0" borderId="0" xfId="0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/>
    <xf numFmtId="0" fontId="17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166" fontId="21" fillId="0" borderId="10" xfId="0" applyNumberFormat="1" applyFont="1" applyFill="1" applyBorder="1" applyAlignment="1">
      <alignment horizontal="right" vertical="center" wrapText="1"/>
    </xf>
    <xf numFmtId="166" fontId="21" fillId="0" borderId="6" xfId="0" applyNumberFormat="1" applyFont="1" applyFill="1" applyBorder="1" applyAlignment="1">
      <alignment horizontal="right" vertical="center" wrapText="1"/>
    </xf>
    <xf numFmtId="166" fontId="22" fillId="0" borderId="11" xfId="0" applyNumberFormat="1" applyFont="1" applyFill="1" applyBorder="1" applyAlignment="1">
      <alignment horizontal="right" vertical="center" wrapText="1"/>
    </xf>
    <xf numFmtId="166" fontId="22" fillId="0" borderId="1" xfId="0" applyNumberFormat="1" applyFont="1" applyFill="1" applyBorder="1" applyAlignment="1">
      <alignment horizontal="right" vertical="center" wrapText="1"/>
    </xf>
    <xf numFmtId="0" fontId="21" fillId="0" borderId="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wrapText="1"/>
    </xf>
    <xf numFmtId="166" fontId="10" fillId="0" borderId="13" xfId="0" applyNumberFormat="1" applyFont="1" applyFill="1" applyBorder="1" applyAlignment="1">
      <alignment horizontal="right" vertical="center" wrapText="1"/>
    </xf>
    <xf numFmtId="166" fontId="10" fillId="0" borderId="20" xfId="0" applyNumberFormat="1" applyFont="1" applyFill="1" applyBorder="1" applyAlignment="1">
      <alignment horizontal="right" vertical="center" wrapText="1"/>
    </xf>
    <xf numFmtId="166" fontId="10" fillId="0" borderId="13" xfId="0" applyNumberFormat="1" applyFont="1" applyFill="1" applyBorder="1" applyAlignment="1">
      <alignment horizontal="right" vertical="center"/>
    </xf>
    <xf numFmtId="166" fontId="10" fillId="0" borderId="21" xfId="0" applyNumberFormat="1" applyFont="1" applyFill="1" applyBorder="1" applyAlignment="1">
      <alignment horizontal="right" vertical="center" wrapText="1"/>
    </xf>
    <xf numFmtId="166" fontId="10" fillId="0" borderId="22" xfId="0" applyNumberFormat="1" applyFont="1" applyFill="1" applyBorder="1" applyAlignment="1">
      <alignment horizontal="right" vertical="center" wrapText="1"/>
    </xf>
    <xf numFmtId="165" fontId="10" fillId="0" borderId="7" xfId="0" applyNumberFormat="1" applyFont="1" applyFill="1" applyBorder="1" applyAlignment="1">
      <alignment horizontal="right" vertical="center"/>
    </xf>
    <xf numFmtId="166" fontId="10" fillId="0" borderId="15" xfId="0" applyNumberFormat="1" applyFont="1" applyFill="1" applyBorder="1" applyAlignment="1">
      <alignment horizontal="right" vertical="center" wrapText="1"/>
    </xf>
    <xf numFmtId="166" fontId="10" fillId="0" borderId="23" xfId="0" applyNumberFormat="1" applyFont="1" applyFill="1" applyBorder="1" applyAlignment="1">
      <alignment horizontal="right" vertical="center" wrapText="1"/>
    </xf>
    <xf numFmtId="165" fontId="10" fillId="0" borderId="7" xfId="0" applyNumberFormat="1" applyFont="1" applyFill="1" applyBorder="1" applyAlignment="1">
      <alignment horizontal="right" vertical="center" wrapText="1"/>
    </xf>
    <xf numFmtId="166" fontId="10" fillId="0" borderId="24" xfId="0" applyNumberFormat="1" applyFont="1" applyFill="1" applyBorder="1" applyAlignment="1">
      <alignment horizontal="right" vertical="center" wrapText="1"/>
    </xf>
    <xf numFmtId="0" fontId="10" fillId="0" borderId="12" xfId="0" applyNumberFormat="1" applyFont="1" applyFill="1" applyBorder="1" applyAlignment="1" applyProtection="1">
      <alignment horizontal="justify" vertical="center" wrapText="1"/>
      <protection/>
    </xf>
    <xf numFmtId="0" fontId="10" fillId="0" borderId="12" xfId="0" applyFont="1" applyFill="1" applyBorder="1" applyAlignment="1">
      <alignment horizontal="left" vertical="center" wrapText="1"/>
    </xf>
    <xf numFmtId="167" fontId="0" fillId="0" borderId="0" xfId="0" applyNumberFormat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2" fontId="24" fillId="0" borderId="0" xfId="0" applyNumberFormat="1" applyFont="1" applyFill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 vertical="center"/>
    </xf>
    <xf numFmtId="2" fontId="25" fillId="0" borderId="0" xfId="0" applyNumberFormat="1" applyFont="1" applyFill="1" applyAlignment="1">
      <alignment horizontal="center" vertical="center"/>
    </xf>
    <xf numFmtId="2" fontId="21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right" vertical="center"/>
    </xf>
    <xf numFmtId="0" fontId="26" fillId="0" borderId="0" xfId="0" applyFont="1" applyFill="1"/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9" fillId="0" borderId="0" xfId="0" applyFont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/>
    <xf numFmtId="0" fontId="32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2" fontId="11" fillId="0" borderId="28" xfId="0" applyNumberFormat="1" applyFont="1" applyFill="1" applyBorder="1" applyAlignment="1">
      <alignment vertical="center"/>
    </xf>
    <xf numFmtId="165" fontId="11" fillId="0" borderId="20" xfId="0" applyNumberFormat="1" applyFont="1" applyFill="1" applyBorder="1" applyAlignment="1">
      <alignment vertical="center"/>
    </xf>
    <xf numFmtId="0" fontId="11" fillId="0" borderId="29" xfId="0" applyFont="1" applyFill="1" applyBorder="1" applyAlignment="1">
      <alignment horizontal="right" vertical="center"/>
    </xf>
    <xf numFmtId="0" fontId="27" fillId="0" borderId="27" xfId="0" applyFont="1" applyFill="1" applyBorder="1"/>
    <xf numFmtId="0" fontId="27" fillId="0" borderId="28" xfId="0" applyFont="1" applyFill="1" applyBorder="1"/>
    <xf numFmtId="0" fontId="27" fillId="0" borderId="30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right"/>
    </xf>
    <xf numFmtId="0" fontId="11" fillId="0" borderId="7" xfId="0" applyFont="1" applyFill="1" applyBorder="1" applyAlignment="1">
      <alignment horizontal="right" vertical="center"/>
    </xf>
    <xf numFmtId="0" fontId="35" fillId="0" borderId="20" xfId="0" applyFont="1" applyFill="1" applyBorder="1" applyAlignment="1">
      <alignment horizontal="right"/>
    </xf>
    <xf numFmtId="0" fontId="3" fillId="0" borderId="12" xfId="0" applyFont="1" applyBorder="1" applyAlignment="1">
      <alignment horizontal="right" vertical="center"/>
    </xf>
    <xf numFmtId="0" fontId="11" fillId="0" borderId="31" xfId="0" applyFont="1" applyFill="1" applyBorder="1" applyAlignment="1">
      <alignment vertical="center"/>
    </xf>
    <xf numFmtId="2" fontId="11" fillId="0" borderId="30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horizontal="right" vertical="center"/>
    </xf>
    <xf numFmtId="0" fontId="27" fillId="0" borderId="31" xfId="0" applyFont="1" applyFill="1" applyBorder="1"/>
    <xf numFmtId="0" fontId="27" fillId="0" borderId="30" xfId="0" applyFont="1" applyFill="1" applyBorder="1"/>
    <xf numFmtId="0" fontId="27" fillId="0" borderId="32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right"/>
    </xf>
    <xf numFmtId="0" fontId="11" fillId="0" borderId="12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right" vertical="center"/>
    </xf>
    <xf numFmtId="0" fontId="27" fillId="0" borderId="34" xfId="0" applyFont="1" applyFill="1" applyBorder="1"/>
    <xf numFmtId="0" fontId="27" fillId="0" borderId="35" xfId="0" applyFont="1" applyFill="1" applyBorder="1"/>
    <xf numFmtId="0" fontId="27" fillId="0" borderId="35" xfId="0" applyFont="1" applyFill="1" applyBorder="1" applyAlignment="1">
      <alignment horizontal="center"/>
    </xf>
    <xf numFmtId="0" fontId="27" fillId="0" borderId="36" xfId="0" applyFont="1" applyFill="1" applyBorder="1" applyAlignment="1">
      <alignment horizontal="center"/>
    </xf>
    <xf numFmtId="0" fontId="26" fillId="0" borderId="37" xfId="0" applyFont="1" applyFill="1" applyBorder="1" applyAlignment="1">
      <alignment horizontal="right"/>
    </xf>
    <xf numFmtId="165" fontId="3" fillId="0" borderId="0" xfId="0" applyNumberFormat="1" applyFont="1"/>
    <xf numFmtId="0" fontId="36" fillId="0" borderId="0" xfId="0" applyFont="1"/>
    <xf numFmtId="0" fontId="3" fillId="0" borderId="0" xfId="21" applyFont="1" applyAlignment="1">
      <alignment horizontal="center"/>
      <protection/>
    </xf>
    <xf numFmtId="0" fontId="3" fillId="0" borderId="0" xfId="21" applyFont="1">
      <alignment/>
      <protection/>
    </xf>
    <xf numFmtId="0" fontId="1" fillId="0" borderId="0" xfId="21">
      <alignment/>
      <protection/>
    </xf>
    <xf numFmtId="0" fontId="3" fillId="0" borderId="0" xfId="21" applyFont="1" applyAlignment="1">
      <alignment/>
      <protection/>
    </xf>
    <xf numFmtId="0" fontId="4" fillId="0" borderId="0" xfId="21" applyFont="1" applyAlignment="1">
      <alignment horizontal="center"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>
      <alignment/>
      <protection/>
    </xf>
    <xf numFmtId="0" fontId="1" fillId="0" borderId="0" xfId="21" applyFont="1">
      <alignment/>
      <protection/>
    </xf>
    <xf numFmtId="0" fontId="1" fillId="0" borderId="0" xfId="21" applyFont="1" applyBorder="1">
      <alignment/>
      <protection/>
    </xf>
    <xf numFmtId="0" fontId="3" fillId="0" borderId="2" xfId="21" applyFont="1" applyBorder="1" applyAlignment="1">
      <alignment horizontal="center"/>
      <protection/>
    </xf>
    <xf numFmtId="0" fontId="4" fillId="0" borderId="5" xfId="21" applyFont="1" applyBorder="1" applyAlignment="1">
      <alignment horizontal="center"/>
      <protection/>
    </xf>
    <xf numFmtId="0" fontId="3" fillId="0" borderId="0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1" fontId="4" fillId="0" borderId="0" xfId="21" applyNumberFormat="1" applyFont="1" applyBorder="1" applyAlignment="1">
      <alignment horizontal="center"/>
      <protection/>
    </xf>
    <xf numFmtId="2" fontId="4" fillId="0" borderId="0" xfId="21" applyNumberFormat="1" applyFont="1" applyBorder="1" applyAlignment="1">
      <alignment horizontal="center"/>
      <protection/>
    </xf>
    <xf numFmtId="0" fontId="3" fillId="0" borderId="0" xfId="21" applyFont="1" applyBorder="1">
      <alignment/>
      <protection/>
    </xf>
    <xf numFmtId="0" fontId="1" fillId="0" borderId="0" xfId="21" applyAlignment="1">
      <alignment horizontal="center"/>
      <protection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66" fontId="9" fillId="0" borderId="7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6" fontId="9" fillId="0" borderId="15" xfId="0" applyNumberFormat="1" applyFont="1" applyFill="1" applyBorder="1" applyAlignment="1">
      <alignment horizontal="center" vertical="center"/>
    </xf>
    <xf numFmtId="166" fontId="9" fillId="0" borderId="17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0" fontId="3" fillId="0" borderId="8" xfId="0" applyFont="1" applyFill="1" applyBorder="1" applyAlignment="1">
      <alignment vertical="center"/>
    </xf>
    <xf numFmtId="166" fontId="5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5" fontId="9" fillId="0" borderId="0" xfId="0" applyNumberFormat="1" applyFont="1"/>
    <xf numFmtId="0" fontId="18" fillId="0" borderId="0" xfId="0" applyFont="1" applyAlignment="1">
      <alignment horizontal="right"/>
    </xf>
    <xf numFmtId="0" fontId="40" fillId="0" borderId="17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10" fillId="0" borderId="12" xfId="0" applyFont="1" applyFill="1" applyBorder="1" applyAlignment="1">
      <alignment vertical="center" wrapText="1"/>
    </xf>
    <xf numFmtId="0" fontId="42" fillId="0" borderId="17" xfId="0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vertical="center"/>
    </xf>
    <xf numFmtId="0" fontId="42" fillId="0" borderId="15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165" fontId="41" fillId="0" borderId="0" xfId="0" applyNumberFormat="1" applyFont="1" applyBorder="1" applyAlignment="1">
      <alignment vertical="center"/>
    </xf>
    <xf numFmtId="0" fontId="0" fillId="0" borderId="0" xfId="20" applyFill="1">
      <alignment/>
      <protection/>
    </xf>
    <xf numFmtId="165" fontId="0" fillId="0" borderId="0" xfId="20" applyNumberFormat="1" applyFill="1">
      <alignment/>
      <protection/>
    </xf>
    <xf numFmtId="0" fontId="31" fillId="0" borderId="0" xfId="20" applyFont="1" applyFill="1">
      <alignment/>
      <protection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4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41" fillId="0" borderId="43" xfId="0" applyFont="1" applyFill="1" applyBorder="1" applyAlignment="1">
      <alignment horizontal="center" wrapText="1"/>
    </xf>
    <xf numFmtId="0" fontId="18" fillId="0" borderId="8" xfId="0" applyNumberFormat="1" applyFont="1" applyFill="1" applyBorder="1" applyAlignment="1">
      <alignment horizontal="center" vertical="center" wrapText="1"/>
    </xf>
    <xf numFmtId="165" fontId="18" fillId="0" borderId="7" xfId="0" applyNumberFormat="1" applyFont="1" applyFill="1" applyBorder="1" applyAlignment="1">
      <alignment horizontal="left" vertical="center" wrapText="1"/>
    </xf>
    <xf numFmtId="2" fontId="18" fillId="0" borderId="7" xfId="0" applyNumberFormat="1" applyFont="1" applyFill="1" applyBorder="1" applyAlignment="1">
      <alignment horizontal="right" vertical="center" wrapText="1"/>
    </xf>
    <xf numFmtId="165" fontId="9" fillId="0" borderId="7" xfId="0" applyNumberFormat="1" applyFont="1" applyFill="1" applyBorder="1" applyAlignment="1">
      <alignment horizontal="right" vertical="center" wrapText="1"/>
    </xf>
    <xf numFmtId="165" fontId="18" fillId="0" borderId="7" xfId="0" applyNumberFormat="1" applyFont="1" applyFill="1" applyBorder="1" applyAlignment="1">
      <alignment horizontal="right" vertical="center" wrapText="1"/>
    </xf>
    <xf numFmtId="165" fontId="21" fillId="0" borderId="7" xfId="0" applyNumberFormat="1" applyFont="1" applyFill="1" applyBorder="1" applyAlignment="1">
      <alignment horizontal="left" vertical="center" wrapText="1"/>
    </xf>
    <xf numFmtId="2" fontId="21" fillId="0" borderId="7" xfId="0" applyNumberFormat="1" applyFont="1" applyFill="1" applyBorder="1" applyAlignment="1">
      <alignment horizontal="right" vertical="center" wrapText="1"/>
    </xf>
    <xf numFmtId="165" fontId="38" fillId="0" borderId="7" xfId="0" applyNumberFormat="1" applyFont="1" applyFill="1" applyBorder="1" applyAlignment="1">
      <alignment horizontal="right" vertical="center" wrapText="1"/>
    </xf>
    <xf numFmtId="0" fontId="18" fillId="0" borderId="7" xfId="0" applyFont="1" applyFill="1" applyBorder="1" applyAlignment="1">
      <alignment horizontal="left" vertical="center" wrapText="1"/>
    </xf>
    <xf numFmtId="165" fontId="9" fillId="0" borderId="3" xfId="0" applyNumberFormat="1" applyFont="1" applyFill="1" applyBorder="1" applyAlignment="1">
      <alignment horizontal="right" vertical="center" wrapText="1"/>
    </xf>
    <xf numFmtId="165" fontId="18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1" fontId="4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7" fillId="0" borderId="0" xfId="0" applyFont="1"/>
    <xf numFmtId="0" fontId="1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7" fillId="0" borderId="10" xfId="0" applyFont="1" applyBorder="1"/>
    <xf numFmtId="0" fontId="27" fillId="0" borderId="33" xfId="0" applyFont="1" applyBorder="1"/>
    <xf numFmtId="0" fontId="27" fillId="0" borderId="6" xfId="0" applyFont="1" applyBorder="1" applyAlignment="1">
      <alignment horizontal="right"/>
    </xf>
    <xf numFmtId="0" fontId="0" fillId="0" borderId="3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0" fillId="0" borderId="32" xfId="0" applyFill="1" applyBorder="1"/>
    <xf numFmtId="0" fontId="27" fillId="0" borderId="24" xfId="0" applyFont="1" applyFill="1" applyBorder="1"/>
    <xf numFmtId="0" fontId="27" fillId="0" borderId="14" xfId="0" applyFont="1" applyFill="1" applyBorder="1" applyAlignment="1">
      <alignment horizontal="right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0" fillId="0" borderId="23" xfId="0" applyFill="1" applyBorder="1"/>
    <xf numFmtId="0" fontId="27" fillId="0" borderId="13" xfId="0" applyFont="1" applyFill="1" applyBorder="1"/>
    <xf numFmtId="0" fontId="27" fillId="0" borderId="20" xfId="0" applyFont="1" applyFill="1" applyBorder="1" applyAlignment="1">
      <alignment horizontal="right"/>
    </xf>
    <xf numFmtId="0" fontId="27" fillId="0" borderId="0" xfId="0" applyFont="1"/>
    <xf numFmtId="0" fontId="27" fillId="0" borderId="0" xfId="0" applyFont="1" applyAlignment="1">
      <alignment horizontal="right"/>
    </xf>
    <xf numFmtId="0" fontId="3" fillId="0" borderId="4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 applyAlignment="1">
      <alignment vertical="center"/>
    </xf>
    <xf numFmtId="0" fontId="4" fillId="0" borderId="2" xfId="0" applyFont="1" applyBorder="1"/>
    <xf numFmtId="0" fontId="4" fillId="0" borderId="2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4" fillId="0" borderId="5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 applyProtection="1">
      <alignment vertical="center" wrapText="1"/>
      <protection locked="0"/>
    </xf>
    <xf numFmtId="165" fontId="3" fillId="0" borderId="25" xfId="0" applyNumberFormat="1" applyFont="1" applyFill="1" applyBorder="1" applyAlignment="1" applyProtection="1">
      <alignment horizontal="right" vertical="center"/>
      <protection locked="0"/>
    </xf>
    <xf numFmtId="164" fontId="16" fillId="0" borderId="29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vertical="center" wrapText="1"/>
      <protection locked="0"/>
    </xf>
    <xf numFmtId="165" fontId="3" fillId="0" borderId="8" xfId="0" applyNumberFormat="1" applyFont="1" applyFill="1" applyBorder="1" applyAlignment="1" applyProtection="1">
      <alignment horizontal="right" vertical="center"/>
      <protection locked="0"/>
    </xf>
    <xf numFmtId="164" fontId="16" fillId="0" borderId="12" xfId="0" applyNumberFormat="1" applyFont="1" applyFill="1" applyBorder="1" applyAlignment="1">
      <alignment vertical="center"/>
    </xf>
    <xf numFmtId="164" fontId="16" fillId="0" borderId="17" xfId="0" applyNumberFormat="1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 applyProtection="1">
      <alignment vertical="center" wrapText="1"/>
      <protection locked="0"/>
    </xf>
    <xf numFmtId="165" fontId="3" fillId="0" borderId="26" xfId="0" applyNumberFormat="1" applyFont="1" applyFill="1" applyBorder="1" applyAlignment="1" applyProtection="1">
      <alignment horizontal="right" vertical="center"/>
      <protection locked="0"/>
    </xf>
    <xf numFmtId="164" fontId="16" fillId="0" borderId="44" xfId="0" applyNumberFormat="1" applyFont="1" applyFill="1" applyBorder="1" applyAlignment="1">
      <alignment vertical="center"/>
    </xf>
    <xf numFmtId="164" fontId="16" fillId="0" borderId="53" xfId="0" applyNumberFormat="1" applyFont="1" applyFill="1" applyBorder="1" applyAlignment="1">
      <alignment horizontal="right" vertical="center" wrapText="1"/>
    </xf>
    <xf numFmtId="0" fontId="3" fillId="0" borderId="39" xfId="0" applyFont="1" applyFill="1" applyBorder="1"/>
    <xf numFmtId="0" fontId="50" fillId="0" borderId="44" xfId="0" applyFont="1" applyFill="1" applyBorder="1" applyAlignment="1">
      <alignment horizontal="left" vertical="center"/>
    </xf>
    <xf numFmtId="165" fontId="4" fillId="0" borderId="39" xfId="0" applyNumberFormat="1" applyFont="1" applyFill="1" applyBorder="1" applyAlignment="1">
      <alignment horizontal="right" vertical="center"/>
    </xf>
    <xf numFmtId="164" fontId="4" fillId="0" borderId="44" xfId="0" applyNumberFormat="1" applyFont="1" applyFill="1" applyBorder="1" applyAlignment="1">
      <alignment horizontal="right" vertical="center"/>
    </xf>
    <xf numFmtId="165" fontId="4" fillId="0" borderId="42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50" fillId="0" borderId="0" xfId="0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3" fillId="2" borderId="0" xfId="0" applyFont="1" applyFill="1"/>
    <xf numFmtId="0" fontId="9" fillId="2" borderId="44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29" fillId="0" borderId="0" xfId="0" applyFont="1" applyFill="1" applyBorder="1"/>
    <xf numFmtId="0" fontId="29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center" wrapText="1"/>
    </xf>
    <xf numFmtId="0" fontId="52" fillId="0" borderId="55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center" vertical="center" wrapText="1"/>
    </xf>
    <xf numFmtId="0" fontId="53" fillId="0" borderId="4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27" fillId="0" borderId="9" xfId="0" applyFont="1" applyFill="1" applyBorder="1"/>
    <xf numFmtId="165" fontId="18" fillId="0" borderId="13" xfId="0" applyNumberFormat="1" applyFont="1" applyFill="1" applyBorder="1" applyAlignment="1">
      <alignment horizontal="right" vertical="center"/>
    </xf>
    <xf numFmtId="165" fontId="18" fillId="0" borderId="16" xfId="0" applyNumberFormat="1" applyFont="1" applyFill="1" applyBorder="1" applyAlignment="1">
      <alignment horizontal="right" vertical="center"/>
    </xf>
    <xf numFmtId="165" fontId="41" fillId="0" borderId="14" xfId="0" applyNumberFormat="1" applyFont="1" applyFill="1" applyBorder="1"/>
    <xf numFmtId="165" fontId="41" fillId="0" borderId="7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/>
    </xf>
    <xf numFmtId="0" fontId="54" fillId="0" borderId="13" xfId="0" applyFont="1" applyFill="1" applyBorder="1" applyAlignment="1">
      <alignment horizontal="right"/>
    </xf>
    <xf numFmtId="0" fontId="54" fillId="0" borderId="23" xfId="0" applyFont="1" applyFill="1" applyBorder="1" applyAlignment="1">
      <alignment horizontal="right"/>
    </xf>
    <xf numFmtId="0" fontId="27" fillId="0" borderId="20" xfId="0" applyFont="1" applyFill="1" applyBorder="1"/>
    <xf numFmtId="0" fontId="27" fillId="0" borderId="15" xfId="0" applyFont="1" applyFill="1" applyBorder="1"/>
    <xf numFmtId="165" fontId="18" fillId="0" borderId="18" xfId="0" applyNumberFormat="1" applyFont="1" applyFill="1" applyBorder="1" applyAlignment="1">
      <alignment horizontal="right" vertical="center"/>
    </xf>
    <xf numFmtId="165" fontId="41" fillId="0" borderId="12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/>
    </xf>
    <xf numFmtId="0" fontId="54" fillId="0" borderId="24" xfId="0" applyFont="1" applyFill="1" applyBorder="1" applyAlignment="1">
      <alignment horizontal="right"/>
    </xf>
    <xf numFmtId="0" fontId="54" fillId="0" borderId="32" xfId="0" applyFont="1" applyFill="1" applyBorder="1" applyAlignment="1">
      <alignment horizontal="right"/>
    </xf>
    <xf numFmtId="0" fontId="27" fillId="0" borderId="14" xfId="0" applyFont="1" applyFill="1" applyBorder="1"/>
    <xf numFmtId="0" fontId="27" fillId="0" borderId="17" xfId="0" applyFont="1" applyFill="1" applyBorder="1"/>
    <xf numFmtId="165" fontId="18" fillId="0" borderId="19" xfId="0" applyNumberFormat="1" applyFont="1" applyFill="1" applyBorder="1" applyAlignment="1">
      <alignment horizontal="right" vertical="center"/>
    </xf>
    <xf numFmtId="0" fontId="18" fillId="0" borderId="56" xfId="0" applyFont="1" applyFill="1" applyBorder="1" applyAlignment="1">
      <alignment horizontal="left" vertical="center" wrapText="1"/>
    </xf>
    <xf numFmtId="165" fontId="18" fillId="0" borderId="15" xfId="0" applyNumberFormat="1" applyFont="1" applyFill="1" applyBorder="1" applyAlignment="1">
      <alignment horizontal="right" vertical="center"/>
    </xf>
    <xf numFmtId="165" fontId="18" fillId="0" borderId="24" xfId="0" applyNumberFormat="1" applyFont="1" applyFill="1" applyBorder="1" applyAlignment="1">
      <alignment horizontal="right" vertical="center"/>
    </xf>
    <xf numFmtId="165" fontId="18" fillId="0" borderId="8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/>
    </xf>
    <xf numFmtId="165" fontId="41" fillId="0" borderId="10" xfId="0" applyNumberFormat="1" applyFont="1" applyFill="1" applyBorder="1"/>
    <xf numFmtId="165" fontId="41" fillId="0" borderId="2" xfId="0" applyNumberFormat="1" applyFont="1" applyFill="1" applyBorder="1"/>
    <xf numFmtId="165" fontId="41" fillId="0" borderId="3" xfId="0" applyNumberFormat="1" applyFont="1" applyFill="1" applyBorder="1" applyAlignment="1">
      <alignment horizontal="right" vertical="center"/>
    </xf>
    <xf numFmtId="0" fontId="17" fillId="0" borderId="3" xfId="0" applyFont="1" applyFill="1" applyBorder="1"/>
    <xf numFmtId="165" fontId="51" fillId="0" borderId="2" xfId="0" applyNumberFormat="1" applyFont="1" applyFill="1" applyBorder="1"/>
    <xf numFmtId="0" fontId="5" fillId="0" borderId="0" xfId="0" applyFont="1" applyFill="1" applyBorder="1" applyAlignment="1">
      <alignment horizontal="right"/>
    </xf>
    <xf numFmtId="2" fontId="41" fillId="0" borderId="0" xfId="0" applyNumberFormat="1" applyFont="1" applyFill="1" applyBorder="1"/>
    <xf numFmtId="165" fontId="41" fillId="0" borderId="0" xfId="0" applyNumberFormat="1" applyFont="1" applyFill="1" applyBorder="1" applyAlignment="1">
      <alignment horizontal="right" vertical="center"/>
    </xf>
    <xf numFmtId="165" fontId="41" fillId="0" borderId="0" xfId="0" applyNumberFormat="1" applyFont="1" applyFill="1" applyBorder="1" applyAlignment="1">
      <alignment horizontal="right" vertical="center" wrapText="1"/>
    </xf>
    <xf numFmtId="165" fontId="41" fillId="0" borderId="0" xfId="0" applyNumberFormat="1" applyFont="1" applyFill="1" applyBorder="1"/>
    <xf numFmtId="0" fontId="17" fillId="0" borderId="0" xfId="0" applyFont="1" applyFill="1" applyBorder="1"/>
    <xf numFmtId="165" fontId="51" fillId="0" borderId="0" xfId="0" applyNumberFormat="1" applyFont="1" applyFill="1" applyBorder="1"/>
    <xf numFmtId="0" fontId="27" fillId="0" borderId="0" xfId="0" applyFont="1" applyFill="1" applyBorder="1"/>
    <xf numFmtId="0" fontId="3" fillId="0" borderId="0" xfId="0" applyFont="1" applyAlignment="1">
      <alignment horizontal="center"/>
    </xf>
    <xf numFmtId="0" fontId="3" fillId="0" borderId="57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5" fillId="0" borderId="58" xfId="0" applyNumberFormat="1" applyFont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vertical="center" wrapText="1"/>
    </xf>
    <xf numFmtId="0" fontId="21" fillId="0" borderId="24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left" vertical="center" wrapText="1"/>
    </xf>
    <xf numFmtId="0" fontId="56" fillId="0" borderId="31" xfId="0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1" fontId="5" fillId="0" borderId="2" xfId="0" applyNumberFormat="1" applyFont="1" applyBorder="1" applyAlignment="1">
      <alignment horizontal="center" vertical="center"/>
    </xf>
    <xf numFmtId="0" fontId="55" fillId="0" borderId="10" xfId="0" applyFont="1" applyBorder="1"/>
    <xf numFmtId="165" fontId="55" fillId="0" borderId="3" xfId="0" applyNumberFormat="1" applyFont="1" applyBorder="1"/>
    <xf numFmtId="0" fontId="55" fillId="0" borderId="9" xfId="0" applyFont="1" applyBorder="1"/>
    <xf numFmtId="0" fontId="55" fillId="0" borderId="3" xfId="0" applyFont="1" applyBorder="1"/>
    <xf numFmtId="0" fontId="3" fillId="0" borderId="1" xfId="0" applyFont="1" applyBorder="1"/>
    <xf numFmtId="165" fontId="6" fillId="0" borderId="0" xfId="0" applyNumberFormat="1" applyFont="1"/>
    <xf numFmtId="1" fontId="3" fillId="0" borderId="0" xfId="0" applyNumberFormat="1" applyFont="1" applyAlignment="1">
      <alignment horizontal="center"/>
    </xf>
    <xf numFmtId="1" fontId="3" fillId="0" borderId="0" xfId="0" applyNumberFormat="1" applyFont="1"/>
    <xf numFmtId="0" fontId="30" fillId="0" borderId="0" xfId="0" applyFont="1"/>
    <xf numFmtId="1" fontId="30" fillId="0" borderId="0" xfId="0" applyNumberFormat="1" applyFont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0" fillId="0" borderId="46" xfId="0" applyBorder="1"/>
    <xf numFmtId="0" fontId="0" fillId="0" borderId="47" xfId="0" applyBorder="1"/>
    <xf numFmtId="0" fontId="0" fillId="0" borderId="4" xfId="0" applyBorder="1"/>
    <xf numFmtId="0" fontId="0" fillId="0" borderId="42" xfId="0" applyBorder="1"/>
    <xf numFmtId="0" fontId="65" fillId="0" borderId="31" xfId="0" applyFont="1" applyFill="1" applyBorder="1" applyAlignment="1">
      <alignment horizontal="right" vertical="center"/>
    </xf>
    <xf numFmtId="0" fontId="56" fillId="0" borderId="30" xfId="0" applyFont="1" applyFill="1" applyBorder="1" applyAlignment="1">
      <alignment horizontal="right" vertical="center"/>
    </xf>
    <xf numFmtId="0" fontId="65" fillId="0" borderId="30" xfId="0" applyFont="1" applyFill="1" applyBorder="1" applyAlignment="1">
      <alignment horizontal="right" vertical="center"/>
    </xf>
    <xf numFmtId="172" fontId="4" fillId="0" borderId="28" xfId="0" applyNumberFormat="1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/>
    </xf>
    <xf numFmtId="0" fontId="55" fillId="0" borderId="28" xfId="0" applyFont="1" applyBorder="1" applyAlignment="1">
      <alignment horizontal="center" vertical="center"/>
    </xf>
    <xf numFmtId="0" fontId="0" fillId="0" borderId="28" xfId="0" applyBorder="1"/>
    <xf numFmtId="0" fontId="55" fillId="0" borderId="35" xfId="0" applyFont="1" applyBorder="1" applyAlignment="1">
      <alignment horizontal="center"/>
    </xf>
    <xf numFmtId="0" fontId="67" fillId="0" borderId="28" xfId="0" applyFont="1" applyBorder="1" applyAlignment="1">
      <alignment horizontal="center" wrapText="1"/>
    </xf>
    <xf numFmtId="172" fontId="5" fillId="0" borderId="23" xfId="0" applyNumberFormat="1" applyFont="1" applyBorder="1" applyAlignment="1">
      <alignment vertical="center"/>
    </xf>
    <xf numFmtId="0" fontId="55" fillId="0" borderId="34" xfId="0" applyFont="1" applyBorder="1" applyAlignment="1">
      <alignment horizontal="center"/>
    </xf>
    <xf numFmtId="0" fontId="55" fillId="0" borderId="27" xfId="0" applyFont="1" applyBorder="1" applyAlignment="1">
      <alignment horizontal="center"/>
    </xf>
    <xf numFmtId="0" fontId="55" fillId="0" borderId="11" xfId="0" applyFont="1" applyBorder="1"/>
    <xf numFmtId="0" fontId="5" fillId="0" borderId="7" xfId="0" applyFont="1" applyFill="1" applyBorder="1" applyAlignment="1">
      <alignment horizontal="right" vertical="center"/>
    </xf>
    <xf numFmtId="172" fontId="5" fillId="0" borderId="27" xfId="0" applyNumberFormat="1" applyFont="1" applyBorder="1" applyAlignment="1">
      <alignment horizontal="center" vertical="center"/>
    </xf>
    <xf numFmtId="172" fontId="5" fillId="0" borderId="13" xfId="0" applyNumberFormat="1" applyFont="1" applyBorder="1" applyAlignment="1">
      <alignment horizontal="center" vertical="center" wrapText="1"/>
    </xf>
    <xf numFmtId="172" fontId="5" fillId="0" borderId="20" xfId="0" applyNumberFormat="1" applyFont="1" applyBorder="1" applyAlignment="1">
      <alignment horizontal="center" vertical="center" wrapText="1"/>
    </xf>
    <xf numFmtId="172" fontId="5" fillId="0" borderId="23" xfId="0" applyNumberFormat="1" applyFont="1" applyBorder="1" applyAlignment="1">
      <alignment horizontal="center" vertical="center" wrapText="1"/>
    </xf>
    <xf numFmtId="172" fontId="5" fillId="0" borderId="27" xfId="0" applyNumberFormat="1" applyFont="1" applyBorder="1" applyAlignment="1">
      <alignment horizontal="center" vertical="center" wrapText="1"/>
    </xf>
    <xf numFmtId="172" fontId="5" fillId="0" borderId="13" xfId="0" applyNumberFormat="1" applyFont="1" applyBorder="1" applyAlignment="1">
      <alignment horizontal="center" vertical="center"/>
    </xf>
    <xf numFmtId="172" fontId="5" fillId="0" borderId="20" xfId="0" applyNumberFormat="1" applyFont="1" applyBorder="1" applyAlignment="1">
      <alignment horizontal="center" vertical="center"/>
    </xf>
    <xf numFmtId="172" fontId="5" fillId="0" borderId="20" xfId="0" applyNumberFormat="1" applyFont="1" applyBorder="1" applyAlignment="1">
      <alignment vertical="center"/>
    </xf>
    <xf numFmtId="0" fontId="35" fillId="0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0" xfId="0" applyAlignment="1">
      <alignment vertical="center"/>
    </xf>
    <xf numFmtId="0" fontId="61" fillId="0" borderId="31" xfId="0" applyFont="1" applyBorder="1" applyAlignment="1">
      <alignment vertical="center"/>
    </xf>
    <xf numFmtId="0" fontId="61" fillId="0" borderId="30" xfId="0" applyFont="1" applyBorder="1" applyAlignment="1">
      <alignment vertical="center"/>
    </xf>
    <xf numFmtId="0" fontId="68" fillId="0" borderId="30" xfId="0" applyFont="1" applyBorder="1" applyAlignment="1">
      <alignment horizontal="center" vertical="center" wrapText="1"/>
    </xf>
    <xf numFmtId="0" fontId="62" fillId="2" borderId="30" xfId="20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vertical="center"/>
    </xf>
    <xf numFmtId="0" fontId="56" fillId="0" borderId="30" xfId="0" applyFont="1" applyFill="1" applyBorder="1" applyAlignment="1">
      <alignment vertical="center"/>
    </xf>
    <xf numFmtId="0" fontId="57" fillId="0" borderId="30" xfId="0" applyFont="1" applyFill="1" applyBorder="1" applyAlignment="1">
      <alignment horizontal="right" vertical="center"/>
    </xf>
    <xf numFmtId="0" fontId="64" fillId="0" borderId="31" xfId="0" applyFont="1" applyBorder="1" applyAlignment="1">
      <alignment vertical="center"/>
    </xf>
    <xf numFmtId="0" fontId="64" fillId="0" borderId="30" xfId="0" applyFont="1" applyBorder="1" applyAlignment="1">
      <alignment vertical="center"/>
    </xf>
    <xf numFmtId="0" fontId="69" fillId="0" borderId="30" xfId="0" applyFont="1" applyBorder="1" applyAlignment="1">
      <alignment horizontal="center" vertical="center" wrapText="1"/>
    </xf>
    <xf numFmtId="0" fontId="63" fillId="0" borderId="30" xfId="20" applyNumberFormat="1" applyFont="1" applyBorder="1" applyAlignment="1">
      <alignment horizontal="center" vertical="center"/>
      <protection/>
    </xf>
    <xf numFmtId="0" fontId="65" fillId="0" borderId="30" xfId="0" applyFont="1" applyFill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66" fillId="2" borderId="30" xfId="20" applyNumberFormat="1" applyFont="1" applyFill="1" applyBorder="1" applyAlignment="1">
      <alignment horizontal="center" vertical="center"/>
      <protection/>
    </xf>
    <xf numFmtId="0" fontId="63" fillId="2" borderId="30" xfId="20" applyNumberFormat="1" applyFont="1" applyFill="1" applyBorder="1" applyAlignment="1">
      <alignment horizontal="center" vertical="center"/>
      <protection/>
    </xf>
    <xf numFmtId="0" fontId="21" fillId="0" borderId="32" xfId="20" applyNumberFormat="1" applyFont="1" applyFill="1" applyBorder="1" applyAlignment="1">
      <alignment horizontal="justify" vertical="center" wrapText="1"/>
      <protection/>
    </xf>
    <xf numFmtId="0" fontId="21" fillId="0" borderId="24" xfId="20" applyNumberFormat="1" applyFont="1" applyFill="1" applyBorder="1" applyAlignment="1">
      <alignment horizontal="center" vertical="center"/>
      <protection/>
    </xf>
    <xf numFmtId="0" fontId="21" fillId="0" borderId="24" xfId="2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 wrapText="1"/>
    </xf>
    <xf numFmtId="0" fontId="3" fillId="0" borderId="29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173" fontId="3" fillId="0" borderId="1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32" xfId="0" applyFont="1" applyFill="1" applyBorder="1"/>
    <xf numFmtId="0" fontId="6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20" fillId="0" borderId="12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left"/>
    </xf>
    <xf numFmtId="0" fontId="3" fillId="0" borderId="32" xfId="0" applyFont="1" applyFill="1" applyBorder="1" applyAlignment="1">
      <alignment/>
    </xf>
    <xf numFmtId="0" fontId="4" fillId="0" borderId="10" xfId="0" applyFont="1" applyBorder="1"/>
    <xf numFmtId="0" fontId="3" fillId="0" borderId="16" xfId="0" applyFont="1" applyBorder="1"/>
    <xf numFmtId="1" fontId="3" fillId="0" borderId="57" xfId="0" applyNumberFormat="1" applyFont="1" applyBorder="1"/>
    <xf numFmtId="0" fontId="20" fillId="0" borderId="16" xfId="0" applyFont="1" applyBorder="1"/>
    <xf numFmtId="0" fontId="4" fillId="0" borderId="0" xfId="0" applyFont="1" applyFill="1" applyBorder="1"/>
    <xf numFmtId="165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" fillId="0" borderId="0" xfId="0" applyFont="1" applyBorder="1"/>
    <xf numFmtId="0" fontId="43" fillId="0" borderId="0" xfId="0" applyFont="1" applyBorder="1"/>
    <xf numFmtId="0" fontId="20" fillId="0" borderId="0" xfId="0" applyFont="1" applyAlignment="1">
      <alignment/>
    </xf>
    <xf numFmtId="166" fontId="3" fillId="0" borderId="0" xfId="0" applyNumberFormat="1" applyFont="1" applyAlignment="1">
      <alignment/>
    </xf>
    <xf numFmtId="166" fontId="3" fillId="0" borderId="12" xfId="0" applyNumberFormat="1" applyFont="1" applyFill="1" applyBorder="1" applyAlignment="1">
      <alignment horizontal="right"/>
    </xf>
    <xf numFmtId="1" fontId="4" fillId="0" borderId="3" xfId="0" applyNumberFormat="1" applyFont="1" applyBorder="1" applyAlignment="1">
      <alignment horizontal="right"/>
    </xf>
    <xf numFmtId="0" fontId="4" fillId="0" borderId="5" xfId="0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horizontal="right" vertical="center"/>
    </xf>
    <xf numFmtId="166" fontId="4" fillId="0" borderId="33" xfId="0" applyNumberFormat="1" applyFont="1" applyFill="1" applyBorder="1" applyAlignment="1">
      <alignment horizontal="right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41" fillId="0" borderId="3" xfId="0" applyFont="1" applyFill="1" applyBorder="1" applyAlignment="1">
      <alignment vertical="center"/>
    </xf>
    <xf numFmtId="165" fontId="41" fillId="0" borderId="1" xfId="0" applyNumberFormat="1" applyFont="1" applyFill="1" applyBorder="1" applyAlignment="1">
      <alignment horizontal="center" vertical="center"/>
    </xf>
    <xf numFmtId="165" fontId="41" fillId="0" borderId="9" xfId="0" applyNumberFormat="1" applyFont="1" applyFill="1" applyBorder="1" applyAlignment="1">
      <alignment horizontal="center" vertical="center"/>
    </xf>
    <xf numFmtId="165" fontId="41" fillId="0" borderId="3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167" fontId="0" fillId="0" borderId="0" xfId="0" applyNumberFormat="1" applyFont="1" applyFill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4" xfId="0" applyBorder="1" applyAlignment="1">
      <alignment horizontal="center"/>
    </xf>
    <xf numFmtId="49" fontId="3" fillId="0" borderId="29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166" fontId="21" fillId="0" borderId="1" xfId="0" applyNumberFormat="1" applyFont="1" applyFill="1" applyBorder="1" applyAlignment="1">
      <alignment horizontal="right" vertical="center" wrapText="1"/>
    </xf>
    <xf numFmtId="166" fontId="10" fillId="0" borderId="16" xfId="0" applyNumberFormat="1" applyFont="1" applyFill="1" applyBorder="1" applyAlignment="1">
      <alignment horizontal="right" vertical="center" wrapText="1"/>
    </xf>
    <xf numFmtId="166" fontId="10" fillId="0" borderId="16" xfId="0" applyNumberFormat="1" applyFont="1" applyFill="1" applyBorder="1" applyAlignment="1">
      <alignment horizontal="right" vertical="center"/>
    </xf>
    <xf numFmtId="0" fontId="41" fillId="0" borderId="40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1" fillId="0" borderId="55" xfId="0" applyFont="1" applyFill="1" applyBorder="1" applyAlignment="1">
      <alignment horizontal="center" vertical="center" wrapText="1"/>
    </xf>
    <xf numFmtId="0" fontId="41" fillId="0" borderId="41" xfId="0" applyFont="1" applyFill="1" applyBorder="1" applyAlignment="1">
      <alignment horizontal="center" vertical="center" wrapText="1"/>
    </xf>
    <xf numFmtId="0" fontId="44" fillId="0" borderId="40" xfId="0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/>
    </xf>
    <xf numFmtId="165" fontId="9" fillId="0" borderId="1" xfId="0" applyNumberFormat="1" applyFont="1" applyFill="1" applyBorder="1" applyAlignment="1">
      <alignment/>
    </xf>
    <xf numFmtId="165" fontId="9" fillId="0" borderId="9" xfId="0" applyNumberFormat="1" applyFont="1" applyFill="1" applyBorder="1" applyAlignment="1">
      <alignment/>
    </xf>
    <xf numFmtId="167" fontId="10" fillId="0" borderId="16" xfId="0" applyNumberFormat="1" applyFont="1" applyFill="1" applyBorder="1" applyAlignment="1">
      <alignment vertical="center"/>
    </xf>
    <xf numFmtId="165" fontId="41" fillId="0" borderId="1" xfId="0" applyNumberFormat="1" applyFont="1" applyBorder="1" applyAlignment="1">
      <alignment vertical="center"/>
    </xf>
    <xf numFmtId="0" fontId="21" fillId="0" borderId="19" xfId="0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vertical="center"/>
    </xf>
    <xf numFmtId="0" fontId="9" fillId="0" borderId="2" xfId="0" applyNumberFormat="1" applyFont="1" applyFill="1" applyBorder="1" applyAlignment="1">
      <alignment horizontal="center" vertical="center"/>
    </xf>
    <xf numFmtId="166" fontId="9" fillId="0" borderId="3" xfId="0" applyNumberFormat="1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vertical="center" wrapText="1"/>
    </xf>
    <xf numFmtId="0" fontId="30" fillId="3" borderId="15" xfId="0" applyFont="1" applyFill="1" applyBorder="1" applyAlignment="1">
      <alignment vertical="center"/>
    </xf>
    <xf numFmtId="0" fontId="30" fillId="3" borderId="17" xfId="0" applyFont="1" applyFill="1" applyBorder="1" applyAlignment="1">
      <alignment vertical="center"/>
    </xf>
    <xf numFmtId="0" fontId="30" fillId="3" borderId="12" xfId="0" applyFont="1" applyFill="1" applyBorder="1" applyAlignment="1">
      <alignment vertical="center" wrapText="1"/>
    </xf>
    <xf numFmtId="175" fontId="9" fillId="0" borderId="29" xfId="27" applyNumberFormat="1" applyFont="1" applyFill="1" applyBorder="1" applyAlignment="1">
      <alignment vertical="center"/>
    </xf>
    <xf numFmtId="175" fontId="9" fillId="0" borderId="21" xfId="27" applyNumberFormat="1" applyFont="1" applyFill="1" applyBorder="1" applyAlignment="1">
      <alignment horizontal="center" vertical="center"/>
    </xf>
    <xf numFmtId="175" fontId="9" fillId="0" borderId="61" xfId="27" applyNumberFormat="1" applyFont="1" applyFill="1" applyBorder="1" applyAlignment="1">
      <alignment horizontal="center" vertical="center"/>
    </xf>
    <xf numFmtId="175" fontId="9" fillId="0" borderId="7" xfId="27" applyNumberFormat="1" applyFont="1" applyFill="1" applyBorder="1" applyAlignment="1">
      <alignment vertical="center"/>
    </xf>
    <xf numFmtId="175" fontId="9" fillId="0" borderId="13" xfId="27" applyNumberFormat="1" applyFont="1" applyFill="1" applyBorder="1" applyAlignment="1">
      <alignment horizontal="center" vertical="center"/>
    </xf>
    <xf numFmtId="175" fontId="9" fillId="0" borderId="28" xfId="27" applyNumberFormat="1" applyFont="1" applyFill="1" applyBorder="1" applyAlignment="1">
      <alignment horizontal="center" vertical="center"/>
    </xf>
    <xf numFmtId="175" fontId="9" fillId="0" borderId="12" xfId="27" applyNumberFormat="1" applyFont="1" applyFill="1" applyBorder="1" applyAlignment="1">
      <alignment vertical="center"/>
    </xf>
    <xf numFmtId="175" fontId="9" fillId="0" borderId="24" xfId="27" applyNumberFormat="1" applyFont="1" applyFill="1" applyBorder="1" applyAlignment="1">
      <alignment horizontal="center" vertical="center"/>
    </xf>
    <xf numFmtId="175" fontId="9" fillId="0" borderId="30" xfId="27" applyNumberFormat="1" applyFont="1" applyFill="1" applyBorder="1" applyAlignment="1">
      <alignment horizontal="center" vertical="center"/>
    </xf>
    <xf numFmtId="175" fontId="9" fillId="2" borderId="24" xfId="27" applyNumberFormat="1" applyFont="1" applyFill="1" applyBorder="1" applyAlignment="1">
      <alignment horizontal="center" vertical="center"/>
    </xf>
    <xf numFmtId="175" fontId="9" fillId="2" borderId="30" xfId="27" applyNumberFormat="1" applyFont="1" applyFill="1" applyBorder="1" applyAlignment="1">
      <alignment horizontal="center" vertical="center"/>
    </xf>
    <xf numFmtId="175" fontId="9" fillId="2" borderId="14" xfId="27" applyNumberFormat="1" applyFont="1" applyFill="1" applyBorder="1" applyAlignment="1">
      <alignment horizontal="center" vertical="center"/>
    </xf>
    <xf numFmtId="175" fontId="9" fillId="0" borderId="14" xfId="27" applyNumberFormat="1" applyFont="1" applyFill="1" applyBorder="1" applyAlignment="1">
      <alignment horizontal="center" vertical="center"/>
    </xf>
    <xf numFmtId="175" fontId="5" fillId="0" borderId="33" xfId="27" applyNumberFormat="1" applyFont="1" applyBorder="1" applyAlignment="1">
      <alignment horizontal="center" vertical="center"/>
    </xf>
    <xf numFmtId="175" fontId="5" fillId="0" borderId="5" xfId="27" applyNumberFormat="1" applyFont="1" applyBorder="1" applyAlignment="1">
      <alignment horizontal="center" vertical="center"/>
    </xf>
    <xf numFmtId="175" fontId="5" fillId="0" borderId="1" xfId="27" applyNumberFormat="1" applyFont="1" applyBorder="1" applyAlignment="1">
      <alignment horizontal="center" vertical="center"/>
    </xf>
    <xf numFmtId="175" fontId="18" fillId="0" borderId="16" xfId="27" applyNumberFormat="1" applyFont="1" applyFill="1" applyBorder="1" applyAlignment="1">
      <alignment horizontal="right" vertical="center"/>
    </xf>
    <xf numFmtId="175" fontId="18" fillId="0" borderId="13" xfId="27" applyNumberFormat="1" applyFont="1" applyFill="1" applyBorder="1" applyAlignment="1">
      <alignment horizontal="right" vertical="center"/>
    </xf>
    <xf numFmtId="175" fontId="18" fillId="0" borderId="18" xfId="27" applyNumberFormat="1" applyFont="1" applyFill="1" applyBorder="1" applyAlignment="1">
      <alignment horizontal="right" vertical="center"/>
    </xf>
    <xf numFmtId="175" fontId="18" fillId="0" borderId="15" xfId="27" applyNumberFormat="1" applyFont="1" applyFill="1" applyBorder="1" applyAlignment="1">
      <alignment horizontal="right" vertical="center"/>
    </xf>
    <xf numFmtId="175" fontId="18" fillId="0" borderId="17" xfId="27" applyNumberFormat="1" applyFont="1" applyFill="1" applyBorder="1" applyAlignment="1">
      <alignment horizontal="right" vertical="center"/>
    </xf>
    <xf numFmtId="175" fontId="18" fillId="0" borderId="24" xfId="27" applyNumberFormat="1" applyFont="1" applyFill="1" applyBorder="1" applyAlignment="1">
      <alignment horizontal="right" vertical="center"/>
    </xf>
    <xf numFmtId="175" fontId="41" fillId="0" borderId="5" xfId="27" applyNumberFormat="1" applyFont="1" applyFill="1" applyBorder="1"/>
    <xf numFmtId="175" fontId="41" fillId="0" borderId="10" xfId="27" applyNumberFormat="1" applyFont="1" applyFill="1" applyBorder="1" applyAlignment="1">
      <alignment horizontal="right" vertical="center"/>
    </xf>
    <xf numFmtId="175" fontId="41" fillId="0" borderId="1" xfId="27" applyNumberFormat="1" applyFont="1" applyFill="1" applyBorder="1" applyAlignment="1">
      <alignment horizontal="right" vertical="center"/>
    </xf>
    <xf numFmtId="175" fontId="21" fillId="0" borderId="32" xfId="27" applyNumberFormat="1" applyFont="1" applyFill="1" applyBorder="1" applyAlignment="1">
      <alignment horizontal="center" vertical="center" wrapText="1"/>
    </xf>
    <xf numFmtId="175" fontId="21" fillId="0" borderId="24" xfId="27" applyNumberFormat="1" applyFont="1" applyFill="1" applyBorder="1" applyAlignment="1">
      <alignment vertical="center"/>
    </xf>
    <xf numFmtId="175" fontId="21" fillId="0" borderId="14" xfId="27" applyNumberFormat="1" applyFont="1" applyFill="1" applyBorder="1" applyAlignment="1">
      <alignment horizontal="center" vertical="center"/>
    </xf>
    <xf numFmtId="175" fontId="21" fillId="0" borderId="31" xfId="27" applyNumberFormat="1" applyFont="1" applyFill="1" applyBorder="1" applyAlignment="1">
      <alignment horizontal="center" vertical="center"/>
    </xf>
    <xf numFmtId="175" fontId="21" fillId="0" borderId="30" xfId="27" applyNumberFormat="1" applyFont="1" applyFill="1" applyBorder="1" applyAlignment="1">
      <alignment vertical="center"/>
    </xf>
    <xf numFmtId="175" fontId="21" fillId="0" borderId="14" xfId="27" applyNumberFormat="1" applyFont="1" applyFill="1" applyBorder="1" applyAlignment="1">
      <alignment vertical="center"/>
    </xf>
    <xf numFmtId="175" fontId="21" fillId="0" borderId="32" xfId="27" applyNumberFormat="1" applyFont="1" applyFill="1" applyBorder="1" applyAlignment="1">
      <alignment vertical="center"/>
    </xf>
    <xf numFmtId="175" fontId="23" fillId="0" borderId="30" xfId="27" applyNumberFormat="1" applyFont="1" applyFill="1" applyBorder="1" applyAlignment="1">
      <alignment vertical="center"/>
    </xf>
    <xf numFmtId="175" fontId="58" fillId="0" borderId="31" xfId="27" applyNumberFormat="1" applyFont="1" applyBorder="1" applyAlignment="1">
      <alignment vertical="center"/>
    </xf>
    <xf numFmtId="175" fontId="58" fillId="0" borderId="32" xfId="27" applyNumberFormat="1" applyFont="1" applyBorder="1" applyAlignment="1">
      <alignment vertical="center"/>
    </xf>
    <xf numFmtId="175" fontId="58" fillId="0" borderId="24" xfId="27" applyNumberFormat="1" applyFont="1" applyBorder="1" applyAlignment="1">
      <alignment vertical="center"/>
    </xf>
    <xf numFmtId="175" fontId="58" fillId="0" borderId="14" xfId="27" applyNumberFormat="1" applyFont="1" applyBorder="1" applyAlignment="1">
      <alignment vertical="center"/>
    </xf>
    <xf numFmtId="175" fontId="60" fillId="0" borderId="31" xfId="27" applyNumberFormat="1" applyFont="1" applyBorder="1" applyAlignment="1">
      <alignment vertical="center"/>
    </xf>
    <xf numFmtId="175" fontId="60" fillId="0" borderId="32" xfId="27" applyNumberFormat="1" applyFont="1" applyBorder="1" applyAlignment="1">
      <alignment vertical="center"/>
    </xf>
    <xf numFmtId="175" fontId="60" fillId="0" borderId="24" xfId="27" applyNumberFormat="1" applyFont="1" applyBorder="1" applyAlignment="1">
      <alignment vertical="center"/>
    </xf>
    <xf numFmtId="175" fontId="60" fillId="0" borderId="14" xfId="27" applyNumberFormat="1" applyFont="1" applyBorder="1" applyAlignment="1">
      <alignment vertical="center"/>
    </xf>
    <xf numFmtId="175" fontId="66" fillId="0" borderId="12" xfId="27" applyNumberFormat="1" applyFont="1" applyBorder="1" applyAlignment="1">
      <alignment horizontal="right" vertical="center" wrapText="1"/>
    </xf>
    <xf numFmtId="175" fontId="66" fillId="2" borderId="12" xfId="27" applyNumberFormat="1" applyFont="1" applyFill="1" applyBorder="1" applyAlignment="1">
      <alignment horizontal="right" vertical="center" wrapText="1"/>
    </xf>
    <xf numFmtId="175" fontId="5" fillId="0" borderId="2" xfId="27" applyNumberFormat="1" applyFont="1" applyBorder="1" applyAlignment="1">
      <alignment vertical="center"/>
    </xf>
    <xf numFmtId="175" fontId="5" fillId="0" borderId="3" xfId="27" applyNumberFormat="1" applyFont="1" applyBorder="1" applyAlignment="1">
      <alignment vertical="center"/>
    </xf>
    <xf numFmtId="175" fontId="5" fillId="0" borderId="9" xfId="27" applyNumberFormat="1" applyFont="1" applyBorder="1" applyAlignment="1">
      <alignment vertical="center"/>
    </xf>
    <xf numFmtId="175" fontId="5" fillId="0" borderId="9" xfId="27" applyNumberFormat="1" applyFont="1" applyBorder="1" applyAlignment="1">
      <alignment horizontal="center" vertical="center"/>
    </xf>
    <xf numFmtId="175" fontId="5" fillId="0" borderId="1" xfId="27" applyNumberFormat="1" applyFont="1" applyBorder="1" applyAlignment="1">
      <alignment vertical="center"/>
    </xf>
    <xf numFmtId="175" fontId="3" fillId="0" borderId="3" xfId="27" applyNumberFormat="1" applyFont="1" applyBorder="1" applyAlignment="1">
      <alignment vertical="center"/>
    </xf>
    <xf numFmtId="175" fontId="3" fillId="0" borderId="1" xfId="27" applyNumberFormat="1" applyFont="1" applyBorder="1"/>
    <xf numFmtId="175" fontId="5" fillId="0" borderId="1" xfId="27" applyNumberFormat="1" applyFont="1" applyBorder="1"/>
    <xf numFmtId="175" fontId="3" fillId="0" borderId="3" xfId="27" applyNumberFormat="1" applyFont="1" applyBorder="1"/>
    <xf numFmtId="176" fontId="21" fillId="0" borderId="31" xfId="27" applyNumberFormat="1" applyFont="1" applyFill="1" applyBorder="1" applyAlignment="1">
      <alignment horizontal="center" vertical="center"/>
    </xf>
    <xf numFmtId="176" fontId="23" fillId="0" borderId="31" xfId="27" applyNumberFormat="1" applyFont="1" applyFill="1" applyBorder="1" applyAlignment="1">
      <alignment vertical="center"/>
    </xf>
    <xf numFmtId="176" fontId="21" fillId="0" borderId="31" xfId="27" applyNumberFormat="1" applyFont="1" applyFill="1" applyBorder="1" applyAlignment="1">
      <alignment vertical="center" wrapText="1"/>
    </xf>
    <xf numFmtId="176" fontId="70" fillId="0" borderId="31" xfId="27" applyNumberFormat="1" applyFont="1" applyFill="1" applyBorder="1" applyAlignment="1">
      <alignment vertical="center" wrapText="1"/>
    </xf>
    <xf numFmtId="176" fontId="21" fillId="0" borderId="31" xfId="27" applyNumberFormat="1" applyFont="1" applyFill="1" applyBorder="1" applyAlignment="1">
      <alignment horizontal="center" vertical="center" wrapText="1"/>
    </xf>
    <xf numFmtId="176" fontId="5" fillId="0" borderId="9" xfId="27" applyNumberFormat="1" applyFont="1" applyBorder="1" applyAlignment="1">
      <alignment horizontal="center" vertical="center"/>
    </xf>
    <xf numFmtId="176" fontId="21" fillId="0" borderId="24" xfId="27" applyNumberFormat="1" applyFont="1" applyFill="1" applyBorder="1" applyAlignment="1">
      <alignment vertical="center"/>
    </xf>
    <xf numFmtId="176" fontId="21" fillId="0" borderId="24" xfId="27" applyNumberFormat="1" applyFont="1" applyFill="1" applyBorder="1" applyAlignment="1">
      <alignment horizontal="center" vertical="center"/>
    </xf>
    <xf numFmtId="176" fontId="21" fillId="0" borderId="24" xfId="27" applyNumberFormat="1" applyFont="1" applyFill="1" applyBorder="1" applyAlignment="1">
      <alignment horizontal="center" vertical="center" wrapText="1"/>
    </xf>
    <xf numFmtId="176" fontId="21" fillId="0" borderId="24" xfId="27" applyNumberFormat="1" applyFont="1" applyFill="1" applyBorder="1" applyAlignment="1">
      <alignment vertical="center" wrapText="1"/>
    </xf>
    <xf numFmtId="176" fontId="5" fillId="0" borderId="3" xfId="27" applyNumberFormat="1" applyFont="1" applyBorder="1" applyAlignment="1">
      <alignment vertical="center"/>
    </xf>
    <xf numFmtId="176" fontId="3" fillId="0" borderId="1" xfId="27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75" fontId="9" fillId="0" borderId="62" xfId="27" applyNumberFormat="1" applyFont="1" applyFill="1" applyBorder="1" applyAlignment="1">
      <alignment horizontal="center" vertical="center"/>
    </xf>
    <xf numFmtId="175" fontId="9" fillId="0" borderId="17" xfId="27" applyNumberFormat="1" applyFont="1" applyFill="1" applyBorder="1" applyAlignment="1">
      <alignment horizontal="center" vertical="center"/>
    </xf>
    <xf numFmtId="175" fontId="9" fillId="0" borderId="12" xfId="27" applyNumberFormat="1" applyFont="1" applyBorder="1" applyAlignment="1">
      <alignment horizontal="center" vertical="center"/>
    </xf>
    <xf numFmtId="175" fontId="9" fillId="0" borderId="20" xfId="27" applyNumberFormat="1" applyFont="1" applyFill="1" applyBorder="1" applyAlignment="1">
      <alignment horizontal="center" vertical="center"/>
    </xf>
    <xf numFmtId="175" fontId="5" fillId="0" borderId="3" xfId="27" applyNumberFormat="1" applyFont="1" applyBorder="1" applyAlignment="1">
      <alignment horizontal="center" vertical="center"/>
    </xf>
    <xf numFmtId="43" fontId="9" fillId="2" borderId="12" xfId="27" applyFont="1" applyFill="1" applyBorder="1" applyAlignment="1">
      <alignment horizontal="center" vertical="center"/>
    </xf>
    <xf numFmtId="43" fontId="5" fillId="2" borderId="3" xfId="27" applyFont="1" applyFill="1" applyBorder="1" applyAlignment="1">
      <alignment horizontal="center" vertical="center"/>
    </xf>
    <xf numFmtId="175" fontId="9" fillId="0" borderId="7" xfId="27" applyNumberFormat="1" applyFont="1" applyFill="1" applyBorder="1" applyAlignment="1">
      <alignment horizontal="center" vertical="center"/>
    </xf>
    <xf numFmtId="175" fontId="9" fillId="0" borderId="19" xfId="27" applyNumberFormat="1" applyFont="1" applyFill="1" applyBorder="1" applyAlignment="1">
      <alignment horizontal="center" vertical="center"/>
    </xf>
    <xf numFmtId="175" fontId="9" fillId="0" borderId="8" xfId="27" applyNumberFormat="1" applyFont="1" applyFill="1" applyBorder="1" applyAlignment="1">
      <alignment horizontal="center" vertical="center"/>
    </xf>
    <xf numFmtId="175" fontId="5" fillId="0" borderId="10" xfId="27" applyNumberFormat="1" applyFont="1" applyFill="1" applyBorder="1" applyAlignment="1">
      <alignment horizontal="center" vertical="center"/>
    </xf>
    <xf numFmtId="175" fontId="5" fillId="0" borderId="6" xfId="27" applyNumberFormat="1" applyFont="1" applyFill="1" applyBorder="1" applyAlignment="1">
      <alignment horizontal="center" vertical="center"/>
    </xf>
    <xf numFmtId="175" fontId="5" fillId="0" borderId="3" xfId="27" applyNumberFormat="1" applyFont="1" applyFill="1" applyBorder="1" applyAlignment="1">
      <alignment horizontal="center" vertical="center"/>
    </xf>
    <xf numFmtId="175" fontId="3" fillId="0" borderId="8" xfId="27" applyNumberFormat="1" applyFont="1" applyFill="1" applyBorder="1" applyAlignment="1">
      <alignment vertical="center"/>
    </xf>
    <xf numFmtId="176" fontId="4" fillId="0" borderId="33" xfId="27" applyNumberFormat="1" applyFont="1" applyFill="1" applyBorder="1" applyAlignment="1">
      <alignment horizontal="right" vertical="center"/>
    </xf>
    <xf numFmtId="176" fontId="4" fillId="0" borderId="11" xfId="27" applyNumberFormat="1" applyFont="1" applyFill="1" applyBorder="1" applyAlignment="1">
      <alignment horizontal="right" vertical="center"/>
    </xf>
    <xf numFmtId="175" fontId="3" fillId="0" borderId="12" xfId="27" applyNumberFormat="1" applyFont="1" applyFill="1" applyBorder="1" applyAlignment="1">
      <alignment vertical="center"/>
    </xf>
    <xf numFmtId="175" fontId="4" fillId="0" borderId="3" xfId="27" applyNumberFormat="1" applyFont="1" applyFill="1" applyBorder="1" applyAlignment="1">
      <alignment horizontal="center" vertical="center"/>
    </xf>
    <xf numFmtId="176" fontId="29" fillId="0" borderId="11" xfId="27" applyNumberFormat="1" applyFont="1" applyFill="1" applyBorder="1" applyAlignment="1">
      <alignment horizontal="center" vertical="center"/>
    </xf>
    <xf numFmtId="176" fontId="29" fillId="0" borderId="10" xfId="27" applyNumberFormat="1" applyFont="1" applyFill="1" applyBorder="1" applyAlignment="1">
      <alignment horizontal="center" vertical="center"/>
    </xf>
    <xf numFmtId="176" fontId="49" fillId="0" borderId="10" xfId="27" applyNumberFormat="1" applyFont="1" applyFill="1" applyBorder="1" applyAlignment="1">
      <alignment horizontal="right" vertical="center"/>
    </xf>
    <xf numFmtId="176" fontId="27" fillId="0" borderId="6" xfId="27" applyNumberFormat="1" applyFont="1" applyBorder="1" applyAlignment="1">
      <alignment horizontal="right"/>
    </xf>
    <xf numFmtId="0" fontId="9" fillId="0" borderId="7" xfId="0" applyFont="1" applyFill="1" applyBorder="1"/>
    <xf numFmtId="0" fontId="9" fillId="0" borderId="12" xfId="0" applyFont="1" applyBorder="1" applyAlignment="1">
      <alignment horizontal="left" vertical="center"/>
    </xf>
    <xf numFmtId="0" fontId="9" fillId="0" borderId="3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175" fontId="9" fillId="0" borderId="8" xfId="27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24" xfId="21" applyFont="1" applyBorder="1" applyAlignment="1">
      <alignment horizontal="left" vertical="center"/>
      <protection/>
    </xf>
    <xf numFmtId="0" fontId="3" fillId="0" borderId="32" xfId="21" applyFont="1" applyBorder="1" applyAlignment="1">
      <alignment horizontal="left" vertical="center"/>
      <protection/>
    </xf>
    <xf numFmtId="175" fontId="3" fillId="0" borderId="30" xfId="27" applyNumberFormat="1" applyFont="1" applyBorder="1" applyAlignment="1">
      <alignment vertical="center"/>
    </xf>
    <xf numFmtId="175" fontId="4" fillId="0" borderId="33" xfId="27" applyNumberFormat="1" applyFont="1" applyBorder="1" applyAlignment="1">
      <alignment horizontal="right"/>
    </xf>
    <xf numFmtId="0" fontId="14" fillId="0" borderId="28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/>
    </xf>
    <xf numFmtId="176" fontId="3" fillId="0" borderId="7" xfId="27" applyNumberFormat="1" applyFont="1" applyFill="1" applyBorder="1" applyAlignment="1">
      <alignment horizontal="center" vertical="center"/>
    </xf>
    <xf numFmtId="176" fontId="4" fillId="0" borderId="3" xfId="27" applyNumberFormat="1" applyFont="1" applyFill="1" applyBorder="1" applyAlignment="1">
      <alignment horizontal="center" vertical="center"/>
    </xf>
    <xf numFmtId="175" fontId="28" fillId="0" borderId="15" xfId="27" applyNumberFormat="1" applyFont="1" applyFill="1" applyBorder="1" applyAlignment="1">
      <alignment horizontal="right" vertical="center"/>
    </xf>
    <xf numFmtId="175" fontId="28" fillId="0" borderId="17" xfId="27" applyNumberFormat="1" applyFont="1" applyFill="1" applyBorder="1" applyAlignment="1">
      <alignment horizontal="right" vertical="center"/>
    </xf>
    <xf numFmtId="175" fontId="10" fillId="0" borderId="12" xfId="27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5" fontId="5" fillId="0" borderId="3" xfId="27" applyNumberFormat="1" applyFont="1" applyBorder="1" applyAlignment="1">
      <alignment horizontal="right" vertical="center"/>
    </xf>
    <xf numFmtId="175" fontId="5" fillId="0" borderId="10" xfId="27" applyNumberFormat="1" applyFont="1" applyBorder="1" applyAlignment="1">
      <alignment horizontal="center" vertical="center"/>
    </xf>
    <xf numFmtId="175" fontId="5" fillId="0" borderId="2" xfId="27" applyNumberFormat="1" applyFont="1" applyBorder="1" applyAlignment="1">
      <alignment horizontal="center" vertical="center"/>
    </xf>
    <xf numFmtId="175" fontId="4" fillId="0" borderId="3" xfId="27" applyNumberFormat="1" applyFont="1" applyBorder="1" applyAlignment="1">
      <alignment vertical="center"/>
    </xf>
    <xf numFmtId="175" fontId="5" fillId="0" borderId="33" xfId="27" applyNumberFormat="1" applyFont="1" applyBorder="1" applyAlignment="1">
      <alignment vertical="center"/>
    </xf>
    <xf numFmtId="175" fontId="9" fillId="0" borderId="9" xfId="27" applyNumberFormat="1" applyFont="1" applyBorder="1" applyAlignment="1">
      <alignment vertical="center"/>
    </xf>
    <xf numFmtId="175" fontId="75" fillId="0" borderId="12" xfId="27" applyNumberFormat="1" applyFont="1" applyFill="1" applyBorder="1" applyAlignment="1">
      <alignment horizontal="right" vertical="center"/>
    </xf>
    <xf numFmtId="175" fontId="62" fillId="2" borderId="12" xfId="27" applyNumberFormat="1" applyFont="1" applyFill="1" applyBorder="1" applyAlignment="1">
      <alignment horizontal="right" vertical="center" wrapText="1"/>
    </xf>
    <xf numFmtId="175" fontId="9" fillId="2" borderId="56" xfId="27" applyNumberFormat="1" applyFont="1" applyFill="1" applyBorder="1" applyAlignment="1">
      <alignment horizontal="right" vertical="center"/>
    </xf>
    <xf numFmtId="175" fontId="5" fillId="2" borderId="3" xfId="27" applyNumberFormat="1" applyFont="1" applyFill="1" applyBorder="1" applyAlignment="1">
      <alignment horizontal="right" vertical="center"/>
    </xf>
    <xf numFmtId="175" fontId="9" fillId="2" borderId="56" xfId="27" applyNumberFormat="1" applyFont="1" applyFill="1" applyBorder="1" applyAlignment="1">
      <alignment horizontal="center" vertical="center"/>
    </xf>
    <xf numFmtId="175" fontId="5" fillId="2" borderId="3" xfId="27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72" fillId="0" borderId="29" xfId="0" applyFont="1" applyBorder="1" applyAlignment="1">
      <alignment horizontal="center"/>
    </xf>
    <xf numFmtId="0" fontId="72" fillId="0" borderId="12" xfId="0" applyFont="1" applyBorder="1" applyAlignment="1">
      <alignment horizontal="center"/>
    </xf>
    <xf numFmtId="0" fontId="72" fillId="0" borderId="3" xfId="0" applyFont="1" applyBorder="1" applyAlignment="1">
      <alignment horizontal="center"/>
    </xf>
    <xf numFmtId="0" fontId="72" fillId="0" borderId="44" xfId="0" applyFont="1" applyBorder="1" applyAlignment="1">
      <alignment horizontal="center"/>
    </xf>
    <xf numFmtId="0" fontId="76" fillId="0" borderId="7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77" fillId="0" borderId="0" xfId="0" applyFont="1"/>
    <xf numFmtId="0" fontId="9" fillId="0" borderId="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18" fillId="0" borderId="30" xfId="0" applyFont="1" applyBorder="1" applyAlignment="1">
      <alignment horizontal="left"/>
    </xf>
    <xf numFmtId="165" fontId="41" fillId="0" borderId="11" xfId="0" applyNumberFormat="1" applyFont="1" applyFill="1" applyBorder="1"/>
    <xf numFmtId="175" fontId="41" fillId="0" borderId="3" xfId="27" applyNumberFormat="1" applyFont="1" applyFill="1" applyBorder="1" applyAlignment="1">
      <alignment horizontal="right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5" fontId="18" fillId="0" borderId="7" xfId="27" applyNumberFormat="1" applyFont="1" applyFill="1" applyBorder="1" applyAlignment="1">
      <alignment horizontal="right" vertical="center" wrapText="1"/>
    </xf>
    <xf numFmtId="175" fontId="18" fillId="0" borderId="12" xfId="27" applyNumberFormat="1" applyFont="1" applyFill="1" applyBorder="1" applyAlignment="1">
      <alignment horizontal="right" vertical="center" wrapText="1"/>
    </xf>
    <xf numFmtId="175" fontId="18" fillId="0" borderId="56" xfId="27" applyNumberFormat="1" applyFont="1" applyFill="1" applyBorder="1" applyAlignment="1">
      <alignment horizontal="right" vertical="center" wrapText="1"/>
    </xf>
    <xf numFmtId="0" fontId="18" fillId="0" borderId="57" xfId="0" applyFont="1" applyFill="1" applyBorder="1" applyAlignment="1">
      <alignment horizontal="left" vertical="center" wrapText="1"/>
    </xf>
    <xf numFmtId="175" fontId="18" fillId="0" borderId="58" xfId="27" applyNumberFormat="1" applyFont="1" applyFill="1" applyBorder="1" applyAlignment="1">
      <alignment horizontal="right" vertical="center"/>
    </xf>
    <xf numFmtId="165" fontId="18" fillId="0" borderId="0" xfId="0" applyNumberFormat="1" applyFont="1" applyFill="1" applyBorder="1" applyAlignment="1">
      <alignment horizontal="right" vertical="center"/>
    </xf>
    <xf numFmtId="165" fontId="18" fillId="0" borderId="57" xfId="0" applyNumberFormat="1" applyFont="1" applyFill="1" applyBorder="1" applyAlignment="1">
      <alignment horizontal="right" vertical="center"/>
    </xf>
    <xf numFmtId="165" fontId="41" fillId="0" borderId="51" xfId="0" applyNumberFormat="1" applyFont="1" applyFill="1" applyBorder="1" applyAlignment="1">
      <alignment horizontal="right" vertical="center"/>
    </xf>
    <xf numFmtId="0" fontId="9" fillId="0" borderId="51" xfId="0" applyFont="1" applyFill="1" applyBorder="1" applyAlignment="1">
      <alignment horizontal="right"/>
    </xf>
    <xf numFmtId="0" fontId="54" fillId="0" borderId="57" xfId="0" applyFont="1" applyFill="1" applyBorder="1" applyAlignment="1">
      <alignment horizontal="right"/>
    </xf>
    <xf numFmtId="0" fontId="54" fillId="0" borderId="0" xfId="0" applyFont="1" applyFill="1" applyBorder="1" applyAlignment="1">
      <alignment horizontal="right"/>
    </xf>
    <xf numFmtId="0" fontId="27" fillId="0" borderId="57" xfId="0" applyFont="1" applyFill="1" applyBorder="1"/>
    <xf numFmtId="0" fontId="27" fillId="0" borderId="48" xfId="0" applyFont="1" applyFill="1" applyBorder="1"/>
    <xf numFmtId="0" fontId="41" fillId="0" borderId="4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1" fontId="5" fillId="0" borderId="1" xfId="0" applyNumberFormat="1" applyFont="1" applyFill="1" applyBorder="1"/>
    <xf numFmtId="0" fontId="11" fillId="0" borderId="15" xfId="0" applyFont="1" applyFill="1" applyBorder="1" applyAlignment="1">
      <alignment vertical="center"/>
    </xf>
    <xf numFmtId="0" fontId="78" fillId="0" borderId="22" xfId="0" applyFont="1" applyFill="1" applyBorder="1" applyAlignment="1">
      <alignment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0" fontId="79" fillId="0" borderId="12" xfId="0" applyFont="1" applyFill="1" applyBorder="1" applyAlignment="1">
      <alignment horizontal="center" vertical="center"/>
    </xf>
    <xf numFmtId="0" fontId="78" fillId="0" borderId="12" xfId="0" applyFont="1" applyFill="1" applyBorder="1" applyAlignment="1">
      <alignment vertical="center" wrapText="1"/>
    </xf>
    <xf numFmtId="0" fontId="78" fillId="0" borderId="12" xfId="0" applyFont="1" applyFill="1" applyBorder="1" applyAlignment="1">
      <alignment horizontal="center" vertical="center"/>
    </xf>
    <xf numFmtId="0" fontId="78" fillId="0" borderId="29" xfId="0" applyFont="1" applyFill="1" applyBorder="1" applyAlignment="1">
      <alignment vertical="center" wrapText="1"/>
    </xf>
    <xf numFmtId="0" fontId="78" fillId="0" borderId="0" xfId="0" applyFont="1" applyFill="1"/>
    <xf numFmtId="0" fontId="30" fillId="0" borderId="0" xfId="0" applyFont="1" applyFill="1"/>
    <xf numFmtId="0" fontId="15" fillId="0" borderId="2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175" fontId="11" fillId="0" borderId="64" xfId="27" applyNumberFormat="1" applyFont="1" applyFill="1" applyBorder="1" applyAlignment="1">
      <alignment vertical="center"/>
    </xf>
    <xf numFmtId="175" fontId="11" fillId="0" borderId="21" xfId="27" applyNumberFormat="1" applyFont="1" applyFill="1" applyBorder="1" applyAlignment="1">
      <alignment horizontal="right" vertical="center"/>
    </xf>
    <xf numFmtId="175" fontId="11" fillId="0" borderId="62" xfId="27" applyNumberFormat="1" applyFont="1" applyFill="1" applyBorder="1" applyAlignment="1">
      <alignment horizontal="right" vertical="center" wrapText="1"/>
    </xf>
    <xf numFmtId="175" fontId="11" fillId="0" borderId="16" xfId="27" applyNumberFormat="1" applyFont="1" applyFill="1" applyBorder="1" applyAlignment="1">
      <alignment vertical="center"/>
    </xf>
    <xf numFmtId="175" fontId="11" fillId="0" borderId="13" xfId="27" applyNumberFormat="1" applyFont="1" applyFill="1" applyBorder="1" applyAlignment="1">
      <alignment horizontal="right" vertical="center"/>
    </xf>
    <xf numFmtId="175" fontId="11" fillId="0" borderId="14" xfId="27" applyNumberFormat="1" applyFont="1" applyFill="1" applyBorder="1" applyAlignment="1">
      <alignment horizontal="right" vertical="center" wrapText="1"/>
    </xf>
    <xf numFmtId="175" fontId="11" fillId="0" borderId="18" xfId="27" applyNumberFormat="1" applyFont="1" applyFill="1" applyBorder="1" applyAlignment="1">
      <alignment vertical="center"/>
    </xf>
    <xf numFmtId="175" fontId="15" fillId="0" borderId="1" xfId="27" applyNumberFormat="1" applyFont="1" applyFill="1" applyBorder="1"/>
    <xf numFmtId="175" fontId="15" fillId="0" borderId="10" xfId="27" applyNumberFormat="1" applyFont="1" applyFill="1" applyBorder="1" applyAlignment="1">
      <alignment vertical="center"/>
    </xf>
    <xf numFmtId="175" fontId="15" fillId="0" borderId="2" xfId="27" applyNumberFormat="1" applyFont="1" applyFill="1" applyBorder="1" applyAlignment="1">
      <alignment vertical="center"/>
    </xf>
    <xf numFmtId="175" fontId="15" fillId="0" borderId="6" xfId="27" applyNumberFormat="1" applyFont="1" applyFill="1" applyBorder="1" applyAlignment="1">
      <alignment vertical="center"/>
    </xf>
    <xf numFmtId="175" fontId="15" fillId="0" borderId="11" xfId="27" applyNumberFormat="1" applyFont="1" applyFill="1" applyBorder="1" applyAlignment="1">
      <alignment vertical="center"/>
    </xf>
    <xf numFmtId="175" fontId="15" fillId="0" borderId="5" xfId="27" applyNumberFormat="1" applyFont="1" applyFill="1" applyBorder="1" applyAlignment="1">
      <alignment vertical="center"/>
    </xf>
    <xf numFmtId="175" fontId="15" fillId="0" borderId="1" xfId="27" applyNumberFormat="1" applyFont="1" applyFill="1" applyBorder="1" applyAlignment="1">
      <alignment vertical="center"/>
    </xf>
    <xf numFmtId="175" fontId="11" fillId="0" borderId="65" xfId="27" applyNumberFormat="1" applyFont="1" applyFill="1" applyBorder="1" applyAlignment="1">
      <alignment horizontal="right" vertical="center"/>
    </xf>
    <xf numFmtId="175" fontId="11" fillId="0" borderId="62" xfId="27" applyNumberFormat="1" applyFont="1" applyFill="1" applyBorder="1" applyAlignment="1">
      <alignment horizontal="right" vertical="center"/>
    </xf>
    <xf numFmtId="175" fontId="11" fillId="0" borderId="15" xfId="27" applyNumberFormat="1" applyFont="1" applyFill="1" applyBorder="1" applyAlignment="1">
      <alignment horizontal="right" vertical="center"/>
    </xf>
    <xf numFmtId="175" fontId="11" fillId="0" borderId="24" xfId="27" applyNumberFormat="1" applyFont="1" applyFill="1" applyBorder="1" applyAlignment="1">
      <alignment horizontal="right" vertical="center"/>
    </xf>
    <xf numFmtId="175" fontId="11" fillId="0" borderId="14" xfId="27" applyNumberFormat="1" applyFont="1" applyFill="1" applyBorder="1" applyAlignment="1">
      <alignment horizontal="right" vertical="center"/>
    </xf>
    <xf numFmtId="175" fontId="11" fillId="0" borderId="40" xfId="27" applyNumberFormat="1" applyFont="1" applyFill="1" applyBorder="1" applyAlignment="1">
      <alignment horizontal="right" vertical="center"/>
    </xf>
    <xf numFmtId="175" fontId="11" fillId="0" borderId="37" xfId="27" applyNumberFormat="1" applyFont="1" applyFill="1" applyBorder="1" applyAlignment="1">
      <alignment horizontal="right" vertical="center"/>
    </xf>
    <xf numFmtId="175" fontId="4" fillId="0" borderId="2" xfId="27" applyNumberFormat="1" applyFont="1" applyFill="1" applyBorder="1" applyAlignment="1">
      <alignment horizontal="right" vertical="center"/>
    </xf>
    <xf numFmtId="175" fontId="4" fillId="0" borderId="6" xfId="27" applyNumberFormat="1" applyFont="1" applyFill="1" applyBorder="1" applyAlignment="1">
      <alignment horizontal="right" vertical="center"/>
    </xf>
    <xf numFmtId="175" fontId="4" fillId="0" borderId="1" xfId="27" applyNumberFormat="1" applyFont="1" applyFill="1" applyBorder="1" applyAlignment="1">
      <alignment horizontal="right" vertical="center"/>
    </xf>
    <xf numFmtId="175" fontId="4" fillId="0" borderId="1" xfId="27" applyNumberFormat="1" applyFont="1" applyFill="1" applyBorder="1" applyAlignment="1">
      <alignment vertical="center"/>
    </xf>
    <xf numFmtId="175" fontId="4" fillId="0" borderId="2" xfId="27" applyNumberFormat="1" applyFont="1" applyFill="1" applyBorder="1" applyAlignment="1">
      <alignment vertical="center"/>
    </xf>
    <xf numFmtId="175" fontId="4" fillId="0" borderId="6" xfId="27" applyNumberFormat="1" applyFont="1" applyFill="1" applyBorder="1" applyAlignment="1">
      <alignment vertical="center"/>
    </xf>
    <xf numFmtId="175" fontId="4" fillId="0" borderId="9" xfId="27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165" fontId="15" fillId="0" borderId="3" xfId="0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175" fontId="15" fillId="0" borderId="2" xfId="27" applyNumberFormat="1" applyFont="1" applyFill="1" applyBorder="1"/>
    <xf numFmtId="175" fontId="15" fillId="0" borderId="9" xfId="27" applyNumberFormat="1" applyFont="1" applyFill="1" applyBorder="1"/>
    <xf numFmtId="167" fontId="26" fillId="0" borderId="0" xfId="0" applyNumberFormat="1" applyFont="1" applyFill="1"/>
    <xf numFmtId="0" fontId="5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vertical="center" wrapText="1"/>
    </xf>
    <xf numFmtId="165" fontId="18" fillId="0" borderId="17" xfId="0" applyNumberFormat="1" applyFont="1" applyFill="1" applyBorder="1" applyAlignment="1">
      <alignment horizontal="right" vertical="center" wrapText="1"/>
    </xf>
    <xf numFmtId="2" fontId="18" fillId="0" borderId="7" xfId="28" applyNumberFormat="1" applyFont="1" applyFill="1" applyBorder="1" applyAlignment="1">
      <alignment horizontal="right" vertical="center" wrapText="1"/>
      <protection/>
    </xf>
    <xf numFmtId="165" fontId="18" fillId="0" borderId="51" xfId="0" applyNumberFormat="1" applyFont="1" applyFill="1" applyBorder="1" applyAlignment="1">
      <alignment horizontal="right" vertical="center" wrapText="1"/>
    </xf>
    <xf numFmtId="165" fontId="18" fillId="0" borderId="39" xfId="0" applyNumberFormat="1" applyFont="1" applyFill="1" applyBorder="1" applyAlignment="1">
      <alignment horizontal="center" vertical="center" wrapText="1"/>
    </xf>
    <xf numFmtId="165" fontId="41" fillId="0" borderId="3" xfId="0" applyNumberFormat="1" applyFont="1" applyFill="1" applyBorder="1" applyAlignment="1">
      <alignment horizontal="center" vertical="center" wrapText="1"/>
    </xf>
    <xf numFmtId="165" fontId="18" fillId="0" borderId="3" xfId="0" applyNumberFormat="1" applyFont="1" applyFill="1" applyBorder="1" applyAlignment="1">
      <alignment horizontal="center" vertical="center" wrapText="1"/>
    </xf>
    <xf numFmtId="2" fontId="41" fillId="0" borderId="3" xfId="0" applyNumberFormat="1" applyFont="1" applyFill="1" applyBorder="1" applyAlignment="1">
      <alignment horizontal="right" vertical="center" wrapText="1"/>
    </xf>
    <xf numFmtId="165" fontId="41" fillId="0" borderId="3" xfId="0" applyNumberFormat="1" applyFont="1" applyFill="1" applyBorder="1" applyAlignment="1">
      <alignment horizontal="right" vertical="center" wrapText="1"/>
    </xf>
    <xf numFmtId="165" fontId="41" fillId="0" borderId="9" xfId="0" applyNumberFormat="1" applyFont="1" applyFill="1" applyBorder="1" applyAlignment="1">
      <alignment horizontal="right" vertical="center" wrapText="1"/>
    </xf>
    <xf numFmtId="165" fontId="41" fillId="0" borderId="0" xfId="0" applyNumberFormat="1" applyFont="1" applyFill="1" applyBorder="1" applyAlignment="1">
      <alignment horizontal="center" vertical="top" wrapText="1"/>
    </xf>
    <xf numFmtId="165" fontId="41" fillId="0" borderId="0" xfId="0" applyNumberFormat="1" applyFont="1" applyFill="1" applyBorder="1" applyAlignment="1">
      <alignment horizontal="center" vertical="top"/>
    </xf>
    <xf numFmtId="165" fontId="80" fillId="0" borderId="0" xfId="0" applyNumberFormat="1" applyFont="1" applyFill="1" applyBorder="1" applyAlignment="1">
      <alignment horizontal="center" vertical="top" wrapText="1"/>
    </xf>
    <xf numFmtId="0" fontId="0" fillId="4" borderId="0" xfId="0" applyFill="1"/>
    <xf numFmtId="0" fontId="0" fillId="3" borderId="0" xfId="0" applyFill="1"/>
    <xf numFmtId="165" fontId="10" fillId="0" borderId="15" xfId="0" applyNumberFormat="1" applyFont="1" applyFill="1" applyBorder="1" applyAlignment="1">
      <alignment horizontal="right" vertical="center"/>
    </xf>
    <xf numFmtId="165" fontId="10" fillId="0" borderId="15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166" fontId="10" fillId="0" borderId="58" xfId="0" applyNumberFormat="1" applyFont="1" applyFill="1" applyBorder="1" applyAlignment="1">
      <alignment horizontal="right" vertical="center"/>
    </xf>
    <xf numFmtId="166" fontId="10" fillId="0" borderId="0" xfId="0" applyNumberFormat="1" applyFont="1" applyFill="1" applyBorder="1" applyAlignment="1">
      <alignment horizontal="right" vertical="center"/>
    </xf>
    <xf numFmtId="165" fontId="10" fillId="0" borderId="48" xfId="0" applyNumberFormat="1" applyFont="1" applyFill="1" applyBorder="1" applyAlignment="1">
      <alignment horizontal="right" vertical="center"/>
    </xf>
    <xf numFmtId="165" fontId="10" fillId="0" borderId="9" xfId="0" applyNumberFormat="1" applyFont="1" applyFill="1" applyBorder="1" applyAlignment="1">
      <alignment horizontal="right" vertical="center"/>
    </xf>
    <xf numFmtId="164" fontId="12" fillId="0" borderId="22" xfId="0" applyNumberFormat="1" applyFont="1" applyFill="1" applyBorder="1" applyAlignment="1">
      <alignment horizontal="right" vertical="center" wrapText="1"/>
    </xf>
    <xf numFmtId="175" fontId="21" fillId="0" borderId="13" xfId="27" applyNumberFormat="1" applyFont="1" applyFill="1" applyBorder="1" applyAlignment="1">
      <alignment horizontal="right" vertical="center"/>
    </xf>
    <xf numFmtId="175" fontId="21" fillId="0" borderId="24" xfId="27" applyNumberFormat="1" applyFont="1" applyFill="1" applyBorder="1" applyAlignment="1">
      <alignment horizontal="right" vertical="center"/>
    </xf>
    <xf numFmtId="175" fontId="21" fillId="0" borderId="18" xfId="27" applyNumberFormat="1" applyFont="1" applyFill="1" applyBorder="1" applyAlignment="1">
      <alignment horizontal="right" vertical="center"/>
    </xf>
    <xf numFmtId="176" fontId="3" fillId="0" borderId="15" xfId="27" applyNumberFormat="1" applyFont="1" applyFill="1" applyBorder="1" applyAlignment="1">
      <alignment/>
    </xf>
    <xf numFmtId="176" fontId="3" fillId="0" borderId="27" xfId="27" applyNumberFormat="1" applyFont="1" applyFill="1" applyBorder="1" applyAlignment="1">
      <alignment/>
    </xf>
    <xf numFmtId="176" fontId="3" fillId="0" borderId="30" xfId="27" applyNumberFormat="1" applyFont="1" applyFill="1" applyBorder="1" applyAlignment="1">
      <alignment/>
    </xf>
    <xf numFmtId="166" fontId="4" fillId="0" borderId="30" xfId="0" applyNumberFormat="1" applyFont="1" applyFill="1" applyBorder="1" applyAlignment="1">
      <alignment/>
    </xf>
    <xf numFmtId="166" fontId="3" fillId="0" borderId="7" xfId="0" applyNumberFormat="1" applyFont="1" applyFill="1" applyBorder="1" applyAlignment="1">
      <alignment horizontal="center" vertical="center"/>
    </xf>
    <xf numFmtId="0" fontId="71" fillId="0" borderId="32" xfId="0" applyFont="1" applyFill="1" applyBorder="1" applyAlignment="1">
      <alignment/>
    </xf>
    <xf numFmtId="0" fontId="20" fillId="0" borderId="32" xfId="0" applyFont="1" applyFill="1" applyBorder="1" applyAlignment="1">
      <alignment/>
    </xf>
    <xf numFmtId="166" fontId="4" fillId="0" borderId="17" xfId="0" applyNumberFormat="1" applyFont="1" applyFill="1" applyBorder="1" applyAlignment="1">
      <alignment horizontal="right"/>
    </xf>
    <xf numFmtId="166" fontId="4" fillId="0" borderId="17" xfId="0" applyNumberFormat="1" applyFont="1" applyFill="1" applyBorder="1" applyAlignment="1">
      <alignment vertical="center"/>
    </xf>
    <xf numFmtId="166" fontId="4" fillId="0" borderId="11" xfId="0" applyNumberFormat="1" applyFont="1" applyFill="1" applyBorder="1" applyAlignment="1">
      <alignment horizontal="right" vertical="center"/>
    </xf>
    <xf numFmtId="0" fontId="5" fillId="0" borderId="52" xfId="0" applyFont="1" applyBorder="1" applyAlignment="1">
      <alignment horizontal="center"/>
    </xf>
    <xf numFmtId="176" fontId="3" fillId="0" borderId="12" xfId="27" applyNumberFormat="1" applyFont="1" applyFill="1" applyBorder="1" applyAlignment="1">
      <alignment/>
    </xf>
    <xf numFmtId="176" fontId="4" fillId="0" borderId="6" xfId="27" applyNumberFormat="1" applyFont="1" applyFill="1" applyBorder="1" applyAlignment="1">
      <alignment horizontal="right" vertical="center"/>
    </xf>
    <xf numFmtId="0" fontId="5" fillId="0" borderId="66" xfId="0" applyFont="1" applyBorder="1" applyAlignment="1">
      <alignment horizontal="center" vertical="center" wrapText="1"/>
    </xf>
    <xf numFmtId="175" fontId="3" fillId="0" borderId="1" xfId="27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9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right" vertical="center"/>
    </xf>
    <xf numFmtId="2" fontId="11" fillId="0" borderId="28" xfId="0" applyNumberFormat="1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right" vertical="center" wrapText="1"/>
    </xf>
    <xf numFmtId="0" fontId="0" fillId="0" borderId="0" xfId="20" applyFill="1" applyAlignment="1">
      <alignment horizontal="right"/>
      <protection/>
    </xf>
    <xf numFmtId="0" fontId="31" fillId="0" borderId="0" xfId="20" applyFont="1" applyFill="1" applyAlignment="1">
      <alignment horizontal="right"/>
      <protection/>
    </xf>
    <xf numFmtId="167" fontId="10" fillId="0" borderId="7" xfId="0" applyNumberFormat="1" applyFont="1" applyFill="1" applyBorder="1" applyAlignment="1">
      <alignment vertical="center"/>
    </xf>
    <xf numFmtId="0" fontId="0" fillId="0" borderId="0" xfId="20" applyFill="1" applyBorder="1">
      <alignment/>
      <protection/>
    </xf>
    <xf numFmtId="165" fontId="0" fillId="0" borderId="0" xfId="20" applyNumberFormat="1" applyFill="1" applyBorder="1">
      <alignment/>
      <protection/>
    </xf>
    <xf numFmtId="0" fontId="0" fillId="0" borderId="0" xfId="20" applyFill="1" applyBorder="1" applyAlignment="1">
      <alignment horizontal="right"/>
      <protection/>
    </xf>
    <xf numFmtId="165" fontId="41" fillId="0" borderId="3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3" fillId="0" borderId="0" xfId="0" applyFont="1" applyAlignment="1">
      <alignment horizontal="right" vertical="top" wrapText="1"/>
    </xf>
    <xf numFmtId="0" fontId="5" fillId="0" borderId="1" xfId="0" applyFont="1" applyBorder="1" applyAlignment="1">
      <alignment horizontal="center" vertical="center" wrapText="1"/>
    </xf>
    <xf numFmtId="0" fontId="21" fillId="0" borderId="23" xfId="20" applyFont="1" applyFill="1" applyBorder="1" applyAlignment="1">
      <alignment vertical="center" wrapText="1"/>
      <protection/>
    </xf>
    <xf numFmtId="0" fontId="21" fillId="0" borderId="32" xfId="20" applyFont="1" applyFill="1" applyBorder="1" applyAlignment="1">
      <alignment vertical="center" wrapText="1"/>
      <protection/>
    </xf>
    <xf numFmtId="0" fontId="59" fillId="0" borderId="32" xfId="20" applyFont="1" applyFill="1" applyBorder="1" applyAlignment="1">
      <alignment vertical="center" wrapText="1"/>
      <protection/>
    </xf>
    <xf numFmtId="49" fontId="21" fillId="0" borderId="32" xfId="20" applyNumberFormat="1" applyFont="1" applyFill="1" applyBorder="1" applyAlignment="1">
      <alignment vertical="center"/>
      <protection/>
    </xf>
    <xf numFmtId="0" fontId="18" fillId="0" borderId="32" xfId="20" applyFont="1" applyFill="1" applyBorder="1">
      <alignment/>
      <protection/>
    </xf>
    <xf numFmtId="2" fontId="9" fillId="0" borderId="7" xfId="0" applyNumberFormat="1" applyFont="1" applyFill="1" applyBorder="1" applyAlignment="1">
      <alignment horizontal="right" vertical="center" wrapText="1"/>
    </xf>
    <xf numFmtId="2" fontId="10" fillId="0" borderId="7" xfId="0" applyNumberFormat="1" applyFont="1" applyFill="1" applyBorder="1" applyAlignment="1">
      <alignment horizontal="right" vertical="center" wrapText="1"/>
    </xf>
    <xf numFmtId="1" fontId="9" fillId="0" borderId="7" xfId="0" applyNumberFormat="1" applyFont="1" applyFill="1" applyBorder="1" applyAlignment="1">
      <alignment horizontal="right" vertical="center" wrapText="1"/>
    </xf>
    <xf numFmtId="0" fontId="9" fillId="0" borderId="30" xfId="0" applyFont="1" applyBorder="1" applyAlignment="1">
      <alignment horizontal="right"/>
    </xf>
    <xf numFmtId="0" fontId="21" fillId="0" borderId="19" xfId="0" applyFont="1" applyFill="1" applyBorder="1" applyAlignment="1">
      <alignment horizontal="center" wrapText="1"/>
    </xf>
    <xf numFmtId="166" fontId="21" fillId="0" borderId="13" xfId="0" applyNumberFormat="1" applyFont="1" applyFill="1" applyBorder="1" applyAlignment="1">
      <alignment horizontal="right" vertical="center"/>
    </xf>
    <xf numFmtId="0" fontId="21" fillId="0" borderId="12" xfId="0" applyNumberFormat="1" applyFont="1" applyFill="1" applyBorder="1" applyAlignment="1" applyProtection="1">
      <alignment horizontal="justify" vertical="center" wrapText="1"/>
      <protection/>
    </xf>
    <xf numFmtId="0" fontId="21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/>
    </xf>
    <xf numFmtId="0" fontId="21" fillId="0" borderId="12" xfId="0" applyNumberFormat="1" applyFont="1" applyFill="1" applyBorder="1" applyAlignment="1" applyProtection="1">
      <alignment vertical="center" wrapText="1"/>
      <protection locked="0"/>
    </xf>
    <xf numFmtId="0" fontId="21" fillId="0" borderId="56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/>
    </xf>
    <xf numFmtId="166" fontId="21" fillId="0" borderId="20" xfId="0" applyNumberFormat="1" applyFont="1" applyFill="1" applyBorder="1" applyAlignment="1">
      <alignment horizontal="right" vertical="center"/>
    </xf>
    <xf numFmtId="166" fontId="21" fillId="0" borderId="14" xfId="0" applyNumberFormat="1" applyFont="1" applyFill="1" applyBorder="1" applyAlignment="1">
      <alignment horizontal="right" vertical="center"/>
    </xf>
    <xf numFmtId="166" fontId="21" fillId="0" borderId="67" xfId="0" applyNumberFormat="1" applyFont="1" applyFill="1" applyBorder="1" applyAlignment="1">
      <alignment horizontal="right" vertical="center"/>
    </xf>
    <xf numFmtId="166" fontId="70" fillId="0" borderId="9" xfId="0" applyNumberFormat="1" applyFont="1" applyFill="1" applyBorder="1" applyAlignment="1">
      <alignment horizontal="right" vertical="center"/>
    </xf>
    <xf numFmtId="0" fontId="70" fillId="0" borderId="3" xfId="0" applyFont="1" applyFill="1" applyBorder="1" applyAlignment="1">
      <alignment horizontal="left" vertical="center"/>
    </xf>
    <xf numFmtId="166" fontId="70" fillId="0" borderId="3" xfId="0" applyNumberFormat="1" applyFont="1" applyFill="1" applyBorder="1" applyAlignment="1">
      <alignment horizontal="right" vertical="center"/>
    </xf>
    <xf numFmtId="166" fontId="22" fillId="0" borderId="9" xfId="0" applyNumberFormat="1" applyFont="1" applyFill="1" applyBorder="1" applyAlignment="1">
      <alignment horizontal="right" vertical="center" wrapText="1"/>
    </xf>
    <xf numFmtId="166" fontId="10" fillId="0" borderId="20" xfId="0" applyNumberFormat="1" applyFont="1" applyFill="1" applyBorder="1" applyAlignment="1">
      <alignment horizontal="right" vertical="center"/>
    </xf>
    <xf numFmtId="166" fontId="10" fillId="0" borderId="24" xfId="0" applyNumberFormat="1" applyFont="1" applyFill="1" applyBorder="1" applyAlignment="1">
      <alignment horizontal="right" vertical="center"/>
    </xf>
    <xf numFmtId="166" fontId="10" fillId="0" borderId="68" xfId="0" applyNumberFormat="1" applyFont="1" applyFill="1" applyBorder="1" applyAlignment="1">
      <alignment horizontal="right" vertical="center"/>
    </xf>
    <xf numFmtId="166" fontId="10" fillId="0" borderId="6" xfId="0" applyNumberFormat="1" applyFont="1" applyFill="1" applyBorder="1" applyAlignment="1">
      <alignment horizontal="right" vertical="center"/>
    </xf>
    <xf numFmtId="175" fontId="0" fillId="0" borderId="0" xfId="27" applyNumberFormat="1" applyFont="1" applyFill="1"/>
    <xf numFmtId="175" fontId="10" fillId="0" borderId="32" xfId="27" applyNumberFormat="1" applyFont="1" applyFill="1" applyBorder="1" applyAlignment="1">
      <alignment vertical="center"/>
    </xf>
    <xf numFmtId="175" fontId="12" fillId="0" borderId="14" xfId="27" applyNumberFormat="1" applyFont="1" applyFill="1" applyBorder="1"/>
    <xf numFmtId="175" fontId="9" fillId="0" borderId="32" xfId="27" applyNumberFormat="1" applyFont="1" applyFill="1" applyBorder="1" applyAlignment="1">
      <alignment vertical="center"/>
    </xf>
    <xf numFmtId="175" fontId="12" fillId="0" borderId="14" xfId="27" applyNumberFormat="1" applyFont="1" applyFill="1" applyBorder="1" applyAlignment="1">
      <alignment vertical="center"/>
    </xf>
    <xf numFmtId="175" fontId="12" fillId="0" borderId="30" xfId="27" applyNumberFormat="1" applyFont="1" applyFill="1" applyBorder="1" applyAlignment="1">
      <alignment vertical="center"/>
    </xf>
    <xf numFmtId="175" fontId="10" fillId="0" borderId="23" xfId="27" applyNumberFormat="1" applyFont="1" applyFill="1" applyBorder="1" applyAlignment="1">
      <alignment vertical="center"/>
    </xf>
    <xf numFmtId="175" fontId="9" fillId="0" borderId="30" xfId="27" applyNumberFormat="1" applyFont="1" applyFill="1" applyBorder="1" applyAlignment="1">
      <alignment vertical="center"/>
    </xf>
    <xf numFmtId="175" fontId="12" fillId="0" borderId="23" xfId="27" applyNumberFormat="1" applyFont="1" applyFill="1" applyBorder="1" applyAlignment="1">
      <alignment vertical="center"/>
    </xf>
    <xf numFmtId="175" fontId="38" fillId="0" borderId="23" xfId="27" applyNumberFormat="1" applyFont="1" applyFill="1" applyBorder="1" applyAlignment="1">
      <alignment vertical="center"/>
    </xf>
    <xf numFmtId="175" fontId="9" fillId="0" borderId="23" xfId="27" applyNumberFormat="1" applyFont="1" applyFill="1" applyBorder="1" applyAlignment="1">
      <alignment vertical="center"/>
    </xf>
    <xf numFmtId="175" fontId="38" fillId="0" borderId="14" xfId="27" applyNumberFormat="1" applyFont="1" applyFill="1" applyBorder="1"/>
    <xf numFmtId="175" fontId="5" fillId="0" borderId="2" xfId="27" applyNumberFormat="1" applyFont="1" applyFill="1" applyBorder="1"/>
    <xf numFmtId="176" fontId="11" fillId="0" borderId="24" xfId="27" applyNumberFormat="1" applyFont="1" applyFill="1" applyBorder="1" applyAlignment="1" applyProtection="1">
      <alignment horizontal="right" vertical="center"/>
      <protection locked="0"/>
    </xf>
    <xf numFmtId="176" fontId="30" fillId="0" borderId="24" xfId="27" applyNumberFormat="1" applyFont="1" applyFill="1" applyBorder="1" applyAlignment="1" applyProtection="1">
      <alignment horizontal="right" vertical="center"/>
      <protection locked="0"/>
    </xf>
    <xf numFmtId="176" fontId="9" fillId="0" borderId="24" xfId="27" applyNumberFormat="1" applyFont="1" applyFill="1" applyBorder="1" applyAlignment="1">
      <alignment vertical="center"/>
    </xf>
    <xf numFmtId="176" fontId="3" fillId="0" borderId="24" xfId="27" applyNumberFormat="1" applyFont="1" applyFill="1" applyBorder="1" applyAlignment="1" applyProtection="1">
      <alignment horizontal="right" vertical="center"/>
      <protection locked="0"/>
    </xf>
    <xf numFmtId="176" fontId="12" fillId="0" borderId="24" xfId="27" applyNumberFormat="1" applyFont="1" applyFill="1" applyBorder="1" applyAlignment="1">
      <alignment vertical="center"/>
    </xf>
    <xf numFmtId="176" fontId="12" fillId="0" borderId="8" xfId="27" applyNumberFormat="1" applyFont="1" applyFill="1" applyBorder="1" applyAlignment="1">
      <alignment vertical="center"/>
    </xf>
    <xf numFmtId="176" fontId="74" fillId="0" borderId="8" xfId="27" applyNumberFormat="1" applyFont="1" applyFill="1" applyBorder="1" applyAlignment="1" applyProtection="1">
      <alignment horizontal="center" vertical="center"/>
      <protection locked="0"/>
    </xf>
    <xf numFmtId="176" fontId="74" fillId="0" borderId="24" xfId="27" applyNumberFormat="1" applyFont="1" applyFill="1" applyBorder="1" applyAlignment="1">
      <alignment/>
    </xf>
    <xf numFmtId="176" fontId="74" fillId="0" borderId="24" xfId="27" applyNumberFormat="1" applyFont="1" applyFill="1" applyBorder="1"/>
    <xf numFmtId="0" fontId="9" fillId="2" borderId="17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75" fontId="18" fillId="0" borderId="20" xfId="27" applyNumberFormat="1" applyFont="1" applyFill="1" applyBorder="1" applyAlignment="1">
      <alignment horizontal="right" vertical="center"/>
    </xf>
    <xf numFmtId="175" fontId="41" fillId="0" borderId="6" xfId="27" applyNumberFormat="1" applyFont="1" applyFill="1" applyBorder="1" applyAlignment="1">
      <alignment horizontal="right" vertical="center" wrapText="1"/>
    </xf>
    <xf numFmtId="175" fontId="41" fillId="0" borderId="0" xfId="27" applyNumberFormat="1" applyFont="1" applyFill="1" applyBorder="1"/>
    <xf numFmtId="175" fontId="41" fillId="0" borderId="0" xfId="27" applyNumberFormat="1" applyFont="1" applyFill="1" applyBorder="1" applyAlignment="1">
      <alignment horizontal="right" vertical="center"/>
    </xf>
    <xf numFmtId="175" fontId="41" fillId="0" borderId="0" xfId="27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175" fontId="18" fillId="0" borderId="14" xfId="27" applyNumberFormat="1" applyFont="1" applyFill="1" applyBorder="1" applyAlignment="1">
      <alignment horizontal="right" vertical="center"/>
    </xf>
    <xf numFmtId="0" fontId="18" fillId="0" borderId="19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right"/>
    </xf>
    <xf numFmtId="175" fontId="18" fillId="0" borderId="19" xfId="27" applyNumberFormat="1" applyFont="1" applyFill="1" applyBorder="1" applyAlignment="1">
      <alignment horizontal="right" vertical="center"/>
    </xf>
    <xf numFmtId="175" fontId="18" fillId="0" borderId="8" xfId="27" applyNumberFormat="1" applyFont="1" applyFill="1" applyBorder="1" applyAlignment="1">
      <alignment horizontal="right" vertical="center"/>
    </xf>
    <xf numFmtId="175" fontId="18" fillId="0" borderId="57" xfId="27" applyNumberFormat="1" applyFont="1" applyFill="1" applyBorder="1" applyAlignment="1">
      <alignment horizontal="right" vertical="center"/>
    </xf>
    <xf numFmtId="175" fontId="41" fillId="0" borderId="2" xfId="27" applyNumberFormat="1" applyFont="1" applyFill="1" applyBorder="1"/>
    <xf numFmtId="0" fontId="4" fillId="0" borderId="0" xfId="21" applyFont="1" applyAlignment="1">
      <alignment wrapText="1"/>
      <protection/>
    </xf>
    <xf numFmtId="0" fontId="4" fillId="0" borderId="4" xfId="21" applyFont="1" applyBorder="1" applyAlignment="1">
      <alignment vertical="top"/>
      <protection/>
    </xf>
    <xf numFmtId="0" fontId="3" fillId="0" borderId="17" xfId="21" applyFont="1" applyBorder="1" applyAlignment="1">
      <alignment horizontal="right" vertical="center"/>
      <protection/>
    </xf>
    <xf numFmtId="0" fontId="3" fillId="0" borderId="9" xfId="21" applyFont="1" applyBorder="1">
      <alignment/>
      <protection/>
    </xf>
    <xf numFmtId="175" fontId="3" fillId="0" borderId="14" xfId="27" applyNumberFormat="1" applyFont="1" applyBorder="1" applyAlignment="1">
      <alignment horizontal="right" vertical="center"/>
    </xf>
    <xf numFmtId="175" fontId="4" fillId="0" borderId="6" xfId="27" applyNumberFormat="1" applyFont="1" applyBorder="1" applyAlignment="1">
      <alignment/>
    </xf>
    <xf numFmtId="0" fontId="21" fillId="0" borderId="12" xfId="0" applyFont="1" applyFill="1" applyBorder="1" applyAlignment="1">
      <alignment horizontal="right" vertical="center" wrapText="1"/>
    </xf>
    <xf numFmtId="165" fontId="9" fillId="0" borderId="15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5" fontId="38" fillId="0" borderId="32" xfId="27" applyNumberFormat="1" applyFont="1" applyFill="1" applyBorder="1" applyAlignment="1">
      <alignment vertical="center"/>
    </xf>
    <xf numFmtId="175" fontId="10" fillId="0" borderId="14" xfId="27" applyNumberFormat="1" applyFont="1" applyFill="1" applyBorder="1"/>
    <xf numFmtId="175" fontId="12" fillId="0" borderId="32" xfId="27" applyNumberFormat="1" applyFont="1" applyFill="1" applyBorder="1" applyAlignment="1">
      <alignment vertical="center"/>
    </xf>
    <xf numFmtId="175" fontId="5" fillId="0" borderId="6" xfId="27" applyNumberFormat="1" applyFont="1" applyFill="1" applyBorder="1"/>
    <xf numFmtId="176" fontId="5" fillId="0" borderId="2" xfId="27" applyNumberFormat="1" applyFont="1" applyFill="1" applyBorder="1"/>
    <xf numFmtId="175" fontId="5" fillId="0" borderId="33" xfId="27" applyNumberFormat="1" applyFont="1" applyFill="1" applyBorder="1"/>
    <xf numFmtId="0" fontId="5" fillId="0" borderId="3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4" fillId="0" borderId="12" xfId="0" applyNumberFormat="1" applyFont="1" applyFill="1" applyBorder="1" applyAlignment="1" applyProtection="1">
      <alignment vertical="center" wrapText="1"/>
      <protection locked="0"/>
    </xf>
    <xf numFmtId="1" fontId="15" fillId="0" borderId="18" xfId="0" applyNumberFormat="1" applyFont="1" applyFill="1" applyBorder="1" applyAlignment="1" applyProtection="1">
      <alignment horizontal="right" vertical="center"/>
      <protection locked="0"/>
    </xf>
    <xf numFmtId="175" fontId="34" fillId="0" borderId="32" xfId="27" applyNumberFormat="1" applyFont="1" applyFill="1" applyBorder="1" applyAlignment="1">
      <alignment vertical="center"/>
    </xf>
    <xf numFmtId="175" fontId="8" fillId="0" borderId="14" xfId="27" applyNumberFormat="1" applyFont="1" applyFill="1" applyBorder="1"/>
    <xf numFmtId="175" fontId="34" fillId="0" borderId="23" xfId="27" applyNumberFormat="1" applyFont="1" applyFill="1" applyBorder="1" applyAlignment="1">
      <alignment vertical="center"/>
    </xf>
    <xf numFmtId="176" fontId="34" fillId="0" borderId="24" xfId="27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/>
    </xf>
    <xf numFmtId="165" fontId="34" fillId="0" borderId="15" xfId="0" applyNumberFormat="1" applyFont="1" applyFill="1" applyBorder="1" applyAlignment="1">
      <alignment horizontal="right" vertical="center"/>
    </xf>
    <xf numFmtId="0" fontId="9" fillId="0" borderId="44" xfId="0" applyFont="1" applyBorder="1" applyAlignment="1">
      <alignment horizontal="center" vertical="center"/>
    </xf>
    <xf numFmtId="0" fontId="35" fillId="0" borderId="14" xfId="0" applyFont="1" applyFill="1" applyBorder="1" applyAlignment="1">
      <alignment horizontal="right"/>
    </xf>
    <xf numFmtId="175" fontId="9" fillId="4" borderId="20" xfId="27" applyNumberFormat="1" applyFont="1" applyFill="1" applyBorder="1" applyAlignment="1">
      <alignment horizontal="center" vertical="center"/>
    </xf>
    <xf numFmtId="175" fontId="9" fillId="4" borderId="7" xfId="27" applyNumberFormat="1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left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166" fontId="9" fillId="4" borderId="7" xfId="0" applyNumberFormat="1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175" fontId="9" fillId="4" borderId="19" xfId="27" applyNumberFormat="1" applyFont="1" applyFill="1" applyBorder="1" applyAlignment="1">
      <alignment horizontal="center" vertical="center"/>
    </xf>
    <xf numFmtId="175" fontId="9" fillId="4" borderId="14" xfId="27" applyNumberFormat="1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166" fontId="9" fillId="4" borderId="15" xfId="0" applyNumberFormat="1" applyFont="1" applyFill="1" applyBorder="1" applyAlignment="1">
      <alignment horizontal="center" vertical="center"/>
    </xf>
    <xf numFmtId="0" fontId="9" fillId="0" borderId="0" xfId="20" applyFont="1" applyAlignment="1">
      <alignment horizontal="center"/>
      <protection/>
    </xf>
    <xf numFmtId="0" fontId="9" fillId="0" borderId="0" xfId="20" applyFont="1">
      <alignment/>
      <protection/>
    </xf>
    <xf numFmtId="0" fontId="18" fillId="0" borderId="0" xfId="20" applyFont="1">
      <alignment/>
      <protection/>
    </xf>
    <xf numFmtId="0" fontId="18" fillId="0" borderId="0" xfId="20" applyFont="1" applyAlignment="1">
      <alignment horizontal="right"/>
      <protection/>
    </xf>
    <xf numFmtId="0" fontId="9" fillId="0" borderId="0" xfId="20" applyFont="1" applyAlignment="1">
      <alignment horizontal="right"/>
      <protection/>
    </xf>
    <xf numFmtId="0" fontId="0" fillId="0" borderId="0" xfId="20">
      <alignment/>
      <protection/>
    </xf>
    <xf numFmtId="0" fontId="9" fillId="0" borderId="0" xfId="20" applyFont="1" applyAlignment="1">
      <alignment/>
      <protection/>
    </xf>
    <xf numFmtId="0" fontId="18" fillId="0" borderId="16" xfId="20" applyFont="1" applyBorder="1" applyAlignment="1">
      <alignment horizontal="right"/>
      <protection/>
    </xf>
    <xf numFmtId="0" fontId="0" fillId="0" borderId="0" xfId="20" applyBorder="1">
      <alignment/>
      <protection/>
    </xf>
    <xf numFmtId="0" fontId="44" fillId="0" borderId="10" xfId="20" applyFont="1" applyBorder="1" applyAlignment="1">
      <alignment horizontal="center" vertical="center"/>
      <protection/>
    </xf>
    <xf numFmtId="0" fontId="44" fillId="2" borderId="5" xfId="20" applyFont="1" applyFill="1" applyBorder="1" applyAlignment="1">
      <alignment horizontal="center" vertical="center"/>
      <protection/>
    </xf>
    <xf numFmtId="0" fontId="44" fillId="2" borderId="10" xfId="20" applyFont="1" applyFill="1" applyBorder="1" applyAlignment="1">
      <alignment horizontal="center" vertical="center" wrapText="1"/>
      <protection/>
    </xf>
    <xf numFmtId="0" fontId="44" fillId="2" borderId="6" xfId="20" applyFont="1" applyFill="1" applyBorder="1" applyAlignment="1">
      <alignment horizontal="center" vertical="center" wrapText="1"/>
      <protection/>
    </xf>
    <xf numFmtId="0" fontId="44" fillId="2" borderId="33" xfId="20" applyFont="1" applyFill="1" applyBorder="1" applyAlignment="1">
      <alignment horizontal="center" vertical="center" wrapText="1"/>
      <protection/>
    </xf>
    <xf numFmtId="0" fontId="44" fillId="2" borderId="3" xfId="20" applyFont="1" applyFill="1" applyBorder="1" applyAlignment="1">
      <alignment horizontal="center" vertical="center" wrapText="1"/>
      <protection/>
    </xf>
    <xf numFmtId="0" fontId="44" fillId="2" borderId="12" xfId="20" applyFont="1" applyFill="1" applyBorder="1" applyAlignment="1">
      <alignment horizontal="center" vertical="center" wrapText="1"/>
      <protection/>
    </xf>
    <xf numFmtId="0" fontId="45" fillId="0" borderId="12" xfId="20" applyFont="1" applyBorder="1" applyAlignment="1">
      <alignment horizontal="center" vertical="center" wrapText="1"/>
      <protection/>
    </xf>
    <xf numFmtId="0" fontId="9" fillId="0" borderId="12" xfId="20" applyFont="1" applyBorder="1">
      <alignment/>
      <protection/>
    </xf>
    <xf numFmtId="0" fontId="21" fillId="0" borderId="13" xfId="20" applyNumberFormat="1" applyFont="1" applyFill="1" applyBorder="1" applyAlignment="1">
      <alignment horizontal="center" vertical="center"/>
      <protection/>
    </xf>
    <xf numFmtId="167" fontId="21" fillId="0" borderId="13" xfId="20" applyNumberFormat="1" applyFont="1" applyFill="1" applyBorder="1" applyAlignment="1">
      <alignment vertical="center"/>
      <protection/>
    </xf>
    <xf numFmtId="167" fontId="21" fillId="0" borderId="20" xfId="20" applyNumberFormat="1" applyFont="1" applyFill="1" applyBorder="1" applyAlignment="1">
      <alignment vertical="center"/>
      <protection/>
    </xf>
    <xf numFmtId="167" fontId="21" fillId="0" borderId="30" xfId="20" applyNumberFormat="1" applyFont="1" applyFill="1" applyBorder="1" applyAlignment="1">
      <alignment vertical="center"/>
      <protection/>
    </xf>
    <xf numFmtId="177" fontId="21" fillId="0" borderId="13" xfId="20" applyNumberFormat="1" applyFont="1" applyFill="1" applyBorder="1">
      <alignment/>
      <protection/>
    </xf>
    <xf numFmtId="167" fontId="21" fillId="0" borderId="28" xfId="20" applyNumberFormat="1" applyFont="1" applyFill="1" applyBorder="1">
      <alignment/>
      <protection/>
    </xf>
    <xf numFmtId="177" fontId="21" fillId="0" borderId="13" xfId="20" applyNumberFormat="1" applyFont="1" applyFill="1" applyBorder="1" applyAlignment="1">
      <alignment vertical="center"/>
      <protection/>
    </xf>
    <xf numFmtId="171" fontId="22" fillId="0" borderId="7" xfId="20" applyNumberFormat="1" applyFont="1" applyFill="1" applyBorder="1" applyAlignment="1">
      <alignment horizontal="center" vertical="center"/>
      <protection/>
    </xf>
    <xf numFmtId="171" fontId="22" fillId="0" borderId="12" xfId="20" applyNumberFormat="1" applyFont="1" applyFill="1" applyBorder="1" applyAlignment="1">
      <alignment vertical="center"/>
      <protection/>
    </xf>
    <xf numFmtId="171" fontId="46" fillId="0" borderId="12" xfId="20" applyNumberFormat="1" applyFont="1" applyFill="1" applyBorder="1" applyAlignment="1">
      <alignment vertical="center"/>
      <protection/>
    </xf>
    <xf numFmtId="171" fontId="22" fillId="0" borderId="12" xfId="20" applyNumberFormat="1" applyFont="1" applyFill="1" applyBorder="1" applyAlignment="1">
      <alignment horizontal="right" vertical="center" wrapText="1"/>
      <protection/>
    </xf>
    <xf numFmtId="0" fontId="9" fillId="0" borderId="12" xfId="20" applyFont="1" applyBorder="1" applyAlignment="1">
      <alignment horizontal="center" vertical="center"/>
      <protection/>
    </xf>
    <xf numFmtId="0" fontId="59" fillId="2" borderId="32" xfId="20" applyFont="1" applyFill="1" applyBorder="1" applyAlignment="1">
      <alignment horizontal="left" vertical="center"/>
      <protection/>
    </xf>
    <xf numFmtId="167" fontId="21" fillId="0" borderId="24" xfId="20" applyNumberFormat="1" applyFont="1" applyFill="1" applyBorder="1" applyAlignment="1">
      <alignment vertical="center"/>
      <protection/>
    </xf>
    <xf numFmtId="167" fontId="21" fillId="0" borderId="14" xfId="20" applyNumberFormat="1" applyFont="1" applyFill="1" applyBorder="1" applyAlignment="1">
      <alignment vertical="center"/>
      <protection/>
    </xf>
    <xf numFmtId="177" fontId="21" fillId="0" borderId="24" xfId="20" applyNumberFormat="1" applyFont="1" applyFill="1" applyBorder="1" applyAlignment="1">
      <alignment vertical="center"/>
      <protection/>
    </xf>
    <xf numFmtId="167" fontId="21" fillId="0" borderId="30" xfId="20" applyNumberFormat="1" applyFont="1" applyFill="1" applyBorder="1">
      <alignment/>
      <protection/>
    </xf>
    <xf numFmtId="171" fontId="22" fillId="0" borderId="12" xfId="20" applyNumberFormat="1" applyFont="1" applyFill="1" applyBorder="1" applyAlignment="1">
      <alignment horizontal="center" vertical="center"/>
      <protection/>
    </xf>
    <xf numFmtId="0" fontId="9" fillId="0" borderId="12" xfId="20" applyFont="1" applyFill="1" applyBorder="1" applyAlignment="1">
      <alignment horizontal="center" vertical="center"/>
      <protection/>
    </xf>
    <xf numFmtId="167" fontId="21" fillId="0" borderId="24" xfId="20" applyNumberFormat="1" applyFont="1" applyFill="1" applyBorder="1">
      <alignment/>
      <protection/>
    </xf>
    <xf numFmtId="177" fontId="21" fillId="0" borderId="24" xfId="20" applyNumberFormat="1" applyFont="1" applyFill="1" applyBorder="1">
      <alignment/>
      <protection/>
    </xf>
    <xf numFmtId="178" fontId="21" fillId="0" borderId="24" xfId="20" applyNumberFormat="1" applyFont="1" applyFill="1" applyBorder="1" applyAlignment="1">
      <alignment vertical="center"/>
      <protection/>
    </xf>
    <xf numFmtId="179" fontId="21" fillId="0" borderId="14" xfId="20" applyNumberFormat="1" applyFont="1" applyFill="1" applyBorder="1" applyAlignment="1">
      <alignment vertical="center"/>
      <protection/>
    </xf>
    <xf numFmtId="177" fontId="21" fillId="0" borderId="24" xfId="20" applyNumberFormat="1" applyFont="1" applyFill="1" applyBorder="1" applyAlignment="1">
      <alignment horizontal="right" vertical="center" wrapText="1"/>
      <protection/>
    </xf>
    <xf numFmtId="177" fontId="21" fillId="0" borderId="24" xfId="20" applyNumberFormat="1" applyFont="1" applyFill="1" applyBorder="1" applyAlignment="1">
      <alignment horizontal="right" vertical="center"/>
      <protection/>
    </xf>
    <xf numFmtId="0" fontId="18" fillId="0" borderId="32" xfId="20" applyFont="1" applyFill="1" applyBorder="1" applyAlignment="1">
      <alignment horizontal="left" vertical="center"/>
      <protection/>
    </xf>
    <xf numFmtId="49" fontId="59" fillId="0" borderId="32" xfId="20" applyNumberFormat="1" applyFont="1" applyFill="1" applyBorder="1" applyAlignment="1">
      <alignment vertical="center"/>
      <protection/>
    </xf>
    <xf numFmtId="0" fontId="21" fillId="0" borderId="10" xfId="20" applyNumberFormat="1" applyFont="1" applyFill="1" applyBorder="1" applyAlignment="1">
      <alignment horizontal="center" vertical="center"/>
      <protection/>
    </xf>
    <xf numFmtId="49" fontId="70" fillId="0" borderId="5" xfId="20" applyNumberFormat="1" applyFont="1" applyFill="1" applyBorder="1" applyAlignment="1">
      <alignment horizontal="right"/>
      <protection/>
    </xf>
    <xf numFmtId="43" fontId="70" fillId="0" borderId="10" xfId="30" applyNumberFormat="1" applyFont="1" applyFill="1" applyBorder="1" applyAlignment="1">
      <alignment horizontal="right" vertical="center"/>
    </xf>
    <xf numFmtId="43" fontId="70" fillId="0" borderId="6" xfId="30" applyNumberFormat="1" applyFont="1" applyFill="1" applyBorder="1" applyAlignment="1">
      <alignment horizontal="right" vertical="center"/>
    </xf>
    <xf numFmtId="175" fontId="70" fillId="0" borderId="10" xfId="30" applyNumberFormat="1" applyFont="1" applyFill="1" applyBorder="1" applyAlignment="1">
      <alignment horizontal="right" vertical="center"/>
    </xf>
    <xf numFmtId="167" fontId="21" fillId="0" borderId="33" xfId="20" applyNumberFormat="1" applyFont="1" applyFill="1" applyBorder="1" applyAlignment="1">
      <alignment vertical="center"/>
      <protection/>
    </xf>
    <xf numFmtId="167" fontId="70" fillId="0" borderId="6" xfId="20" applyNumberFormat="1" applyFont="1" applyFill="1" applyBorder="1" applyAlignment="1">
      <alignment horizontal="right" vertical="center"/>
      <protection/>
    </xf>
    <xf numFmtId="167" fontId="70" fillId="0" borderId="10" xfId="20" applyNumberFormat="1" applyFont="1" applyFill="1" applyBorder="1" applyAlignment="1">
      <alignment horizontal="right" vertical="center"/>
      <protection/>
    </xf>
    <xf numFmtId="177" fontId="70" fillId="0" borderId="10" xfId="20" applyNumberFormat="1" applyFont="1" applyFill="1" applyBorder="1" applyAlignment="1">
      <alignment horizontal="right" vertical="center"/>
      <protection/>
    </xf>
    <xf numFmtId="167" fontId="70" fillId="0" borderId="33" xfId="20" applyNumberFormat="1" applyFont="1" applyFill="1" applyBorder="1" applyAlignment="1">
      <alignment horizontal="right" vertical="center"/>
      <protection/>
    </xf>
    <xf numFmtId="171" fontId="46" fillId="0" borderId="56" xfId="20" applyNumberFormat="1" applyFont="1" applyFill="1" applyBorder="1" applyAlignment="1">
      <alignment horizontal="center" vertical="center"/>
      <protection/>
    </xf>
    <xf numFmtId="171" fontId="46" fillId="0" borderId="56" xfId="20" applyNumberFormat="1" applyFont="1" applyFill="1" applyBorder="1" applyAlignment="1">
      <alignment horizontal="right" vertical="center"/>
      <protection/>
    </xf>
    <xf numFmtId="171" fontId="20" fillId="0" borderId="56" xfId="20" applyNumberFormat="1" applyFont="1" applyFill="1" applyBorder="1" applyAlignment="1">
      <alignment wrapText="1"/>
      <protection/>
    </xf>
    <xf numFmtId="0" fontId="9" fillId="0" borderId="56" xfId="20" applyFont="1" applyBorder="1">
      <alignment/>
      <protection/>
    </xf>
    <xf numFmtId="0" fontId="21" fillId="0" borderId="2" xfId="20" applyNumberFormat="1" applyFont="1" applyFill="1" applyBorder="1" applyAlignment="1">
      <alignment horizontal="center" vertical="center"/>
      <protection/>
    </xf>
    <xf numFmtId="49" fontId="70" fillId="0" borderId="1" xfId="20" applyNumberFormat="1" applyFont="1" applyFill="1" applyBorder="1" applyAlignment="1">
      <alignment horizontal="center"/>
      <protection/>
    </xf>
    <xf numFmtId="167" fontId="70" fillId="0" borderId="2" xfId="20" applyNumberFormat="1" applyFont="1" applyFill="1" applyBorder="1" applyAlignment="1">
      <alignment horizontal="center"/>
      <protection/>
    </xf>
    <xf numFmtId="167" fontId="70" fillId="0" borderId="1" xfId="20" applyNumberFormat="1" applyFont="1" applyFill="1" applyBorder="1" applyAlignment="1">
      <alignment vertical="center"/>
      <protection/>
    </xf>
    <xf numFmtId="167" fontId="70" fillId="0" borderId="9" xfId="20" applyNumberFormat="1" applyFont="1" applyFill="1" applyBorder="1" applyAlignment="1">
      <alignment vertical="center"/>
      <protection/>
    </xf>
    <xf numFmtId="167" fontId="46" fillId="0" borderId="1" xfId="20" applyNumberFormat="1" applyFont="1" applyFill="1" applyBorder="1" applyAlignment="1">
      <alignment vertical="center"/>
      <protection/>
    </xf>
    <xf numFmtId="167" fontId="46" fillId="0" borderId="9" xfId="20" applyNumberFormat="1" applyFont="1" applyFill="1" applyBorder="1" applyAlignment="1">
      <alignment vertical="center"/>
      <protection/>
    </xf>
    <xf numFmtId="0" fontId="18" fillId="0" borderId="0" xfId="20" applyNumberFormat="1" applyFont="1" applyBorder="1" applyAlignment="1">
      <alignment horizontal="center" vertical="center"/>
      <protection/>
    </xf>
    <xf numFmtId="0" fontId="18" fillId="0" borderId="0" xfId="20" applyFont="1" applyBorder="1">
      <alignment/>
      <protection/>
    </xf>
    <xf numFmtId="0" fontId="18" fillId="0" borderId="0" xfId="20" applyFont="1" applyAlignment="1">
      <alignment horizontal="center"/>
      <protection/>
    </xf>
    <xf numFmtId="165" fontId="9" fillId="0" borderId="0" xfId="20" applyNumberFormat="1" applyFont="1">
      <alignment/>
      <protection/>
    </xf>
    <xf numFmtId="0" fontId="3" fillId="0" borderId="0" xfId="20" applyFont="1">
      <alignment/>
      <protection/>
    </xf>
    <xf numFmtId="0" fontId="0" fillId="0" borderId="0" xfId="20" applyAlignment="1">
      <alignment horizontal="center"/>
      <protection/>
    </xf>
    <xf numFmtId="180" fontId="0" fillId="0" borderId="0" xfId="20" applyNumberFormat="1">
      <alignment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81" fillId="0" borderId="0" xfId="0" applyFont="1"/>
    <xf numFmtId="0" fontId="82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174" fontId="81" fillId="0" borderId="0" xfId="0" applyNumberFormat="1" applyFont="1" applyAlignment="1">
      <alignment horizontal="center"/>
    </xf>
    <xf numFmtId="0" fontId="83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/>
    </xf>
    <xf numFmtId="167" fontId="83" fillId="0" borderId="0" xfId="0" applyNumberFormat="1" applyFont="1" applyFill="1" applyBorder="1" applyAlignment="1">
      <alignment horizontal="center"/>
    </xf>
    <xf numFmtId="0" fontId="81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right"/>
    </xf>
    <xf numFmtId="167" fontId="85" fillId="0" borderId="0" xfId="0" applyNumberFormat="1" applyFont="1" applyFill="1" applyBorder="1" applyAlignment="1">
      <alignment horizontal="left"/>
    </xf>
    <xf numFmtId="167" fontId="81" fillId="0" borderId="0" xfId="0" applyNumberFormat="1" applyFont="1" applyFill="1" applyBorder="1" applyAlignment="1">
      <alignment horizontal="center"/>
    </xf>
    <xf numFmtId="0" fontId="82" fillId="0" borderId="0" xfId="0" applyFont="1" applyFill="1" applyBorder="1" applyAlignment="1">
      <alignment/>
    </xf>
    <xf numFmtId="0" fontId="86" fillId="0" borderId="0" xfId="0" applyFont="1" applyAlignment="1">
      <alignment/>
    </xf>
    <xf numFmtId="167" fontId="87" fillId="0" borderId="0" xfId="0" applyNumberFormat="1" applyFont="1" applyAlignment="1">
      <alignment/>
    </xf>
    <xf numFmtId="0" fontId="82" fillId="0" borderId="43" xfId="0" applyFont="1" applyBorder="1" applyAlignment="1">
      <alignment horizontal="center" vertical="center" wrapText="1"/>
    </xf>
    <xf numFmtId="0" fontId="81" fillId="0" borderId="43" xfId="0" applyFont="1" applyBorder="1" applyAlignment="1">
      <alignment horizontal="center" vertical="center"/>
    </xf>
    <xf numFmtId="0" fontId="82" fillId="0" borderId="38" xfId="0" applyFont="1" applyBorder="1" applyAlignment="1">
      <alignment horizontal="center" vertical="center" wrapText="1"/>
    </xf>
    <xf numFmtId="0" fontId="81" fillId="0" borderId="47" xfId="0" applyFont="1" applyBorder="1" applyAlignment="1">
      <alignment horizontal="center" vertical="center"/>
    </xf>
    <xf numFmtId="0" fontId="82" fillId="0" borderId="47" xfId="0" applyFont="1" applyBorder="1" applyAlignment="1">
      <alignment horizontal="center" vertical="center" wrapText="1"/>
    </xf>
    <xf numFmtId="0" fontId="81" fillId="0" borderId="46" xfId="0" applyFont="1" applyBorder="1" applyAlignment="1">
      <alignment horizontal="center" vertical="center"/>
    </xf>
    <xf numFmtId="0" fontId="81" fillId="5" borderId="3" xfId="0" applyFont="1" applyFill="1" applyBorder="1" applyAlignment="1">
      <alignment horizontal="center" vertical="center"/>
    </xf>
    <xf numFmtId="0" fontId="82" fillId="5" borderId="1" xfId="0" applyFont="1" applyFill="1" applyBorder="1" applyAlignment="1">
      <alignment horizontal="left" vertical="center"/>
    </xf>
    <xf numFmtId="0" fontId="81" fillId="5" borderId="3" xfId="0" applyFont="1" applyFill="1" applyBorder="1" applyAlignment="1">
      <alignment horizontal="center"/>
    </xf>
    <xf numFmtId="175" fontId="82" fillId="5" borderId="1" xfId="27" applyNumberFormat="1" applyFont="1" applyFill="1" applyBorder="1" applyAlignment="1">
      <alignment horizontal="right" vertical="center"/>
    </xf>
    <xf numFmtId="175" fontId="82" fillId="5" borderId="10" xfId="27" applyNumberFormat="1" applyFont="1" applyFill="1" applyBorder="1" applyAlignment="1">
      <alignment horizontal="center" vertical="center"/>
    </xf>
    <xf numFmtId="175" fontId="82" fillId="5" borderId="33" xfId="27" applyNumberFormat="1" applyFont="1" applyFill="1" applyBorder="1" applyAlignment="1">
      <alignment horizontal="center" vertical="center"/>
    </xf>
    <xf numFmtId="175" fontId="82" fillId="5" borderId="6" xfId="27" applyNumberFormat="1" applyFont="1" applyFill="1" applyBorder="1" applyAlignment="1">
      <alignment horizontal="center" vertical="center"/>
    </xf>
    <xf numFmtId="175" fontId="82" fillId="5" borderId="2" xfId="27" applyNumberFormat="1" applyFont="1" applyFill="1" applyBorder="1" applyAlignment="1">
      <alignment horizontal="right" vertical="center"/>
    </xf>
    <xf numFmtId="175" fontId="82" fillId="5" borderId="3" xfId="27" applyNumberFormat="1" applyFont="1" applyFill="1" applyBorder="1" applyAlignment="1">
      <alignment horizontal="right" vertical="center"/>
    </xf>
    <xf numFmtId="175" fontId="82" fillId="5" borderId="9" xfId="27" applyNumberFormat="1" applyFont="1" applyFill="1" applyBorder="1" applyAlignment="1">
      <alignment horizontal="right" vertical="center"/>
    </xf>
    <xf numFmtId="0" fontId="82" fillId="5" borderId="10" xfId="0" applyFont="1" applyFill="1" applyBorder="1" applyAlignment="1">
      <alignment horizontal="center" vertical="center" wrapText="1"/>
    </xf>
    <xf numFmtId="0" fontId="82" fillId="5" borderId="33" xfId="0" applyFont="1" applyFill="1" applyBorder="1" applyAlignment="1">
      <alignment horizontal="center" vertical="center" wrapText="1"/>
    </xf>
    <xf numFmtId="0" fontId="82" fillId="5" borderId="6" xfId="0" applyFont="1" applyFill="1" applyBorder="1" applyAlignment="1">
      <alignment horizontal="center" vertical="center" wrapText="1"/>
    </xf>
    <xf numFmtId="0" fontId="82" fillId="5" borderId="11" xfId="0" applyFont="1" applyFill="1" applyBorder="1" applyAlignment="1">
      <alignment horizontal="center" vertical="center" wrapText="1"/>
    </xf>
    <xf numFmtId="0" fontId="82" fillId="5" borderId="5" xfId="0" applyFont="1" applyFill="1" applyBorder="1" applyAlignment="1">
      <alignment horizontal="center" vertical="center" wrapText="1"/>
    </xf>
    <xf numFmtId="175" fontId="92" fillId="4" borderId="30" xfId="27" applyNumberFormat="1" applyFont="1" applyFill="1" applyBorder="1" applyAlignment="1">
      <alignment horizontal="center" vertical="center"/>
    </xf>
    <xf numFmtId="175" fontId="92" fillId="4" borderId="30" xfId="27" applyNumberFormat="1" applyFont="1" applyFill="1" applyBorder="1"/>
    <xf numFmtId="0" fontId="82" fillId="2" borderId="16" xfId="0" applyFont="1" applyFill="1" applyBorder="1" applyAlignment="1">
      <alignment horizontal="left" vertical="center" wrapText="1"/>
    </xf>
    <xf numFmtId="0" fontId="93" fillId="2" borderId="7" xfId="0" applyFont="1" applyFill="1" applyBorder="1" applyAlignment="1">
      <alignment horizontal="center"/>
    </xf>
    <xf numFmtId="175" fontId="82" fillId="2" borderId="16" xfId="27" applyNumberFormat="1" applyFont="1" applyFill="1" applyBorder="1" applyAlignment="1">
      <alignment horizontal="right" vertical="center"/>
    </xf>
    <xf numFmtId="175" fontId="82" fillId="2" borderId="13" xfId="27" applyNumberFormat="1" applyFont="1" applyFill="1" applyBorder="1" applyAlignment="1">
      <alignment horizontal="center" vertical="center"/>
    </xf>
    <xf numFmtId="175" fontId="82" fillId="2" borderId="28" xfId="27" applyNumberFormat="1" applyFont="1" applyFill="1" applyBorder="1" applyAlignment="1">
      <alignment horizontal="center" vertical="center"/>
    </xf>
    <xf numFmtId="175" fontId="82" fillId="2" borderId="20" xfId="27" applyNumberFormat="1" applyFont="1" applyFill="1" applyBorder="1" applyAlignment="1">
      <alignment horizontal="center" vertical="center"/>
    </xf>
    <xf numFmtId="175" fontId="34" fillId="0" borderId="57" xfId="27" applyNumberFormat="1" applyFont="1" applyFill="1" applyBorder="1" applyAlignment="1">
      <alignment horizontal="right"/>
    </xf>
    <xf numFmtId="175" fontId="34" fillId="0" borderId="51" xfId="27" applyNumberFormat="1" applyFont="1" applyFill="1" applyBorder="1" applyAlignment="1">
      <alignment horizontal="right"/>
    </xf>
    <xf numFmtId="175" fontId="34" fillId="0" borderId="22" xfId="27" applyNumberFormat="1" applyFont="1" applyFill="1" applyBorder="1" applyAlignment="1">
      <alignment horizontal="right"/>
    </xf>
    <xf numFmtId="0" fontId="82" fillId="2" borderId="13" xfId="0" applyFont="1" applyFill="1" applyBorder="1" applyAlignment="1">
      <alignment horizontal="center" vertical="center" wrapText="1"/>
    </xf>
    <xf numFmtId="0" fontId="82" fillId="2" borderId="28" xfId="0" applyFont="1" applyFill="1" applyBorder="1" applyAlignment="1">
      <alignment horizontal="center" vertical="center" wrapText="1"/>
    </xf>
    <xf numFmtId="0" fontId="82" fillId="2" borderId="20" xfId="0" applyFont="1" applyFill="1" applyBorder="1" applyAlignment="1">
      <alignment horizontal="center" vertical="center" wrapText="1"/>
    </xf>
    <xf numFmtId="0" fontId="82" fillId="2" borderId="27" xfId="0" applyFont="1" applyFill="1" applyBorder="1" applyAlignment="1">
      <alignment horizontal="center" vertical="center" wrapText="1"/>
    </xf>
    <xf numFmtId="0" fontId="82" fillId="2" borderId="23" xfId="0" applyFont="1" applyFill="1" applyBorder="1" applyAlignment="1">
      <alignment horizontal="center" vertical="center" wrapText="1"/>
    </xf>
    <xf numFmtId="175" fontId="92" fillId="0" borderId="30" xfId="27" applyNumberFormat="1" applyFont="1" applyBorder="1" applyAlignment="1">
      <alignment horizontal="center" vertical="center"/>
    </xf>
    <xf numFmtId="175" fontId="92" fillId="0" borderId="30" xfId="27" applyNumberFormat="1" applyFont="1" applyBorder="1"/>
    <xf numFmtId="0" fontId="82" fillId="6" borderId="18" xfId="0" applyFont="1" applyFill="1" applyBorder="1" applyAlignment="1">
      <alignment horizontal="left" vertical="center" wrapText="1"/>
    </xf>
    <xf numFmtId="0" fontId="81" fillId="6" borderId="12" xfId="0" applyFont="1" applyFill="1" applyBorder="1" applyAlignment="1">
      <alignment horizontal="center"/>
    </xf>
    <xf numFmtId="175" fontId="82" fillId="6" borderId="18" xfId="27" applyNumberFormat="1" applyFont="1" applyFill="1" applyBorder="1" applyAlignment="1">
      <alignment horizontal="right"/>
    </xf>
    <xf numFmtId="175" fontId="82" fillId="6" borderId="24" xfId="27" applyNumberFormat="1" applyFont="1" applyFill="1" applyBorder="1" applyAlignment="1">
      <alignment horizontal="center"/>
    </xf>
    <xf numFmtId="175" fontId="82" fillId="6" borderId="30" xfId="27" applyNumberFormat="1" applyFont="1" applyFill="1" applyBorder="1" applyAlignment="1">
      <alignment horizontal="center"/>
    </xf>
    <xf numFmtId="175" fontId="82" fillId="6" borderId="14" xfId="27" applyNumberFormat="1" applyFont="1" applyFill="1" applyBorder="1" applyAlignment="1">
      <alignment horizontal="center"/>
    </xf>
    <xf numFmtId="175" fontId="82" fillId="6" borderId="8" xfId="27" applyNumberFormat="1" applyFont="1" applyFill="1" applyBorder="1" applyAlignment="1">
      <alignment horizontal="right"/>
    </xf>
    <xf numFmtId="175" fontId="82" fillId="6" borderId="12" xfId="27" applyNumberFormat="1" applyFont="1" applyFill="1" applyBorder="1" applyAlignment="1">
      <alignment horizontal="right"/>
    </xf>
    <xf numFmtId="175" fontId="82" fillId="6" borderId="17" xfId="27" applyNumberFormat="1" applyFont="1" applyFill="1" applyBorder="1" applyAlignment="1">
      <alignment horizontal="right"/>
    </xf>
    <xf numFmtId="0" fontId="82" fillId="6" borderId="24" xfId="0" applyFont="1" applyFill="1" applyBorder="1" applyAlignment="1">
      <alignment horizontal="center"/>
    </xf>
    <xf numFmtId="0" fontId="82" fillId="6" borderId="30" xfId="0" applyFont="1" applyFill="1" applyBorder="1" applyAlignment="1">
      <alignment horizontal="center"/>
    </xf>
    <xf numFmtId="0" fontId="82" fillId="6" borderId="14" xfId="0" applyFont="1" applyFill="1" applyBorder="1" applyAlignment="1">
      <alignment horizontal="center"/>
    </xf>
    <xf numFmtId="0" fontId="82" fillId="6" borderId="31" xfId="0" applyFont="1" applyFill="1" applyBorder="1" applyAlignment="1">
      <alignment horizontal="center"/>
    </xf>
    <xf numFmtId="0" fontId="82" fillId="6" borderId="32" xfId="0" applyFont="1" applyFill="1" applyBorder="1" applyAlignment="1">
      <alignment horizontal="center"/>
    </xf>
    <xf numFmtId="175" fontId="92" fillId="6" borderId="30" xfId="27" applyNumberFormat="1" applyFont="1" applyFill="1" applyBorder="1" applyAlignment="1">
      <alignment horizontal="center" vertical="center"/>
    </xf>
    <xf numFmtId="175" fontId="92" fillId="6" borderId="30" xfId="27" applyNumberFormat="1" applyFont="1" applyFill="1" applyBorder="1"/>
    <xf numFmtId="0" fontId="81" fillId="6" borderId="18" xfId="0" applyFont="1" applyFill="1" applyBorder="1" applyAlignment="1">
      <alignment horizontal="left" vertical="center" wrapText="1"/>
    </xf>
    <xf numFmtId="0" fontId="81" fillId="0" borderId="12" xfId="0" applyFont="1" applyFill="1" applyBorder="1" applyAlignment="1">
      <alignment horizontal="center"/>
    </xf>
    <xf numFmtId="175" fontId="82" fillId="0" borderId="18" xfId="27" applyNumberFormat="1" applyFont="1" applyFill="1" applyBorder="1" applyAlignment="1">
      <alignment horizontal="right"/>
    </xf>
    <xf numFmtId="175" fontId="82" fillId="2" borderId="24" xfId="27" applyNumberFormat="1" applyFont="1" applyFill="1" applyBorder="1" applyAlignment="1">
      <alignment horizontal="center"/>
    </xf>
    <xf numFmtId="175" fontId="81" fillId="2" borderId="30" xfId="27" applyNumberFormat="1" applyFont="1" applyFill="1" applyBorder="1" applyAlignment="1">
      <alignment horizontal="center"/>
    </xf>
    <xf numFmtId="175" fontId="82" fillId="2" borderId="14" xfId="27" applyNumberFormat="1" applyFont="1" applyFill="1" applyBorder="1" applyAlignment="1">
      <alignment horizontal="center"/>
    </xf>
    <xf numFmtId="175" fontId="34" fillId="2" borderId="8" xfId="27" applyNumberFormat="1" applyFont="1" applyFill="1" applyBorder="1" applyAlignment="1">
      <alignment horizontal="right"/>
    </xf>
    <xf numFmtId="175" fontId="34" fillId="0" borderId="12" xfId="27" applyNumberFormat="1" applyFont="1" applyFill="1" applyBorder="1" applyAlignment="1">
      <alignment horizontal="right"/>
    </xf>
    <xf numFmtId="175" fontId="34" fillId="0" borderId="17" xfId="27" applyNumberFormat="1" applyFont="1" applyFill="1" applyBorder="1" applyAlignment="1">
      <alignment horizontal="right"/>
    </xf>
    <xf numFmtId="0" fontId="82" fillId="2" borderId="24" xfId="0" applyFont="1" applyFill="1" applyBorder="1" applyAlignment="1">
      <alignment horizontal="center"/>
    </xf>
    <xf numFmtId="0" fontId="81" fillId="2" borderId="30" xfId="0" applyFont="1" applyFill="1" applyBorder="1" applyAlignment="1">
      <alignment horizontal="center"/>
    </xf>
    <xf numFmtId="0" fontId="82" fillId="2" borderId="14" xfId="0" applyFont="1" applyFill="1" applyBorder="1" applyAlignment="1">
      <alignment horizontal="center"/>
    </xf>
    <xf numFmtId="0" fontId="82" fillId="2" borderId="24" xfId="0" applyFont="1" applyFill="1" applyBorder="1" applyAlignment="1">
      <alignment horizontal="center"/>
    </xf>
    <xf numFmtId="0" fontId="82" fillId="2" borderId="30" xfId="0" applyFont="1" applyFill="1" applyBorder="1" applyAlignment="1">
      <alignment horizontal="center"/>
    </xf>
    <xf numFmtId="0" fontId="82" fillId="2" borderId="31" xfId="0" applyFont="1" applyFill="1" applyBorder="1" applyAlignment="1">
      <alignment horizontal="center"/>
    </xf>
    <xf numFmtId="0" fontId="82" fillId="2" borderId="32" xfId="0" applyFont="1" applyFill="1" applyBorder="1" applyAlignment="1">
      <alignment horizontal="center"/>
    </xf>
    <xf numFmtId="49" fontId="81" fillId="0" borderId="44" xfId="0" applyNumberFormat="1" applyFont="1" applyFill="1" applyBorder="1" applyAlignment="1">
      <alignment horizontal="center" vertical="center"/>
    </xf>
    <xf numFmtId="0" fontId="81" fillId="0" borderId="4" xfId="0" applyFont="1" applyFill="1" applyBorder="1" applyAlignment="1">
      <alignment horizontal="left" vertical="center" wrapText="1"/>
    </xf>
    <xf numFmtId="0" fontId="81" fillId="0" borderId="52" xfId="0" applyFont="1" applyFill="1" applyBorder="1" applyAlignment="1">
      <alignment horizontal="center"/>
    </xf>
    <xf numFmtId="175" fontId="82" fillId="0" borderId="53" xfId="27" applyNumberFormat="1" applyFont="1" applyFill="1" applyBorder="1" applyAlignment="1">
      <alignment horizontal="right"/>
    </xf>
    <xf numFmtId="175" fontId="82" fillId="2" borderId="40" xfId="27" applyNumberFormat="1" applyFont="1" applyFill="1" applyBorder="1" applyAlignment="1">
      <alignment horizontal="center"/>
    </xf>
    <xf numFmtId="175" fontId="81" fillId="2" borderId="50" xfId="27" applyNumberFormat="1" applyFont="1" applyFill="1" applyBorder="1" applyAlignment="1">
      <alignment horizontal="center"/>
    </xf>
    <xf numFmtId="175" fontId="82" fillId="2" borderId="41" xfId="27" applyNumberFormat="1" applyFont="1" applyFill="1" applyBorder="1" applyAlignment="1">
      <alignment horizontal="center"/>
    </xf>
    <xf numFmtId="175" fontId="34" fillId="2" borderId="57" xfId="27" applyNumberFormat="1" applyFont="1" applyFill="1" applyBorder="1" applyAlignment="1">
      <alignment horizontal="right"/>
    </xf>
    <xf numFmtId="175" fontId="34" fillId="0" borderId="53" xfId="27" applyNumberFormat="1" applyFont="1" applyFill="1" applyBorder="1" applyAlignment="1">
      <alignment horizontal="right"/>
    </xf>
    <xf numFmtId="0" fontId="82" fillId="2" borderId="40" xfId="0" applyFont="1" applyFill="1" applyBorder="1" applyAlignment="1">
      <alignment horizontal="center"/>
    </xf>
    <xf numFmtId="0" fontId="81" fillId="2" borderId="50" xfId="0" applyFont="1" applyFill="1" applyBorder="1" applyAlignment="1">
      <alignment horizontal="center"/>
    </xf>
    <xf numFmtId="0" fontId="82" fillId="2" borderId="41" xfId="0" applyFont="1" applyFill="1" applyBorder="1" applyAlignment="1">
      <alignment horizontal="center"/>
    </xf>
    <xf numFmtId="0" fontId="82" fillId="2" borderId="40" xfId="0" applyFont="1" applyFill="1" applyBorder="1" applyAlignment="1">
      <alignment horizontal="center"/>
    </xf>
    <xf numFmtId="0" fontId="82" fillId="2" borderId="50" xfId="0" applyFont="1" applyFill="1" applyBorder="1" applyAlignment="1">
      <alignment horizontal="center"/>
    </xf>
    <xf numFmtId="0" fontId="82" fillId="2" borderId="49" xfId="0" applyFont="1" applyFill="1" applyBorder="1" applyAlignment="1">
      <alignment horizontal="center"/>
    </xf>
    <xf numFmtId="0" fontId="82" fillId="2" borderId="55" xfId="0" applyFont="1" applyFill="1" applyBorder="1" applyAlignment="1">
      <alignment horizontal="center"/>
    </xf>
    <xf numFmtId="0" fontId="94" fillId="6" borderId="7" xfId="0" applyFont="1" applyFill="1" applyBorder="1" applyAlignment="1">
      <alignment horizontal="center"/>
    </xf>
    <xf numFmtId="175" fontId="82" fillId="6" borderId="16" xfId="27" applyNumberFormat="1" applyFont="1" applyFill="1" applyBorder="1" applyAlignment="1">
      <alignment horizontal="right"/>
    </xf>
    <xf numFmtId="175" fontId="82" fillId="6" borderId="21" xfId="27" applyNumberFormat="1" applyFont="1" applyFill="1" applyBorder="1" applyAlignment="1">
      <alignment horizontal="center"/>
    </xf>
    <xf numFmtId="175" fontId="82" fillId="6" borderId="61" xfId="27" applyNumberFormat="1" applyFont="1" applyFill="1" applyBorder="1" applyAlignment="1">
      <alignment horizontal="center"/>
    </xf>
    <xf numFmtId="175" fontId="82" fillId="6" borderId="62" xfId="27" applyNumberFormat="1" applyFont="1" applyFill="1" applyBorder="1" applyAlignment="1">
      <alignment horizontal="center"/>
    </xf>
    <xf numFmtId="175" fontId="34" fillId="6" borderId="25" xfId="27" applyNumberFormat="1" applyFont="1" applyFill="1" applyBorder="1" applyAlignment="1">
      <alignment horizontal="right"/>
    </xf>
    <xf numFmtId="175" fontId="34" fillId="6" borderId="29" xfId="27" applyNumberFormat="1" applyFont="1" applyFill="1" applyBorder="1" applyAlignment="1">
      <alignment horizontal="right"/>
    </xf>
    <xf numFmtId="175" fontId="34" fillId="6" borderId="22" xfId="27" applyNumberFormat="1" applyFont="1" applyFill="1" applyBorder="1" applyAlignment="1">
      <alignment horizontal="right"/>
    </xf>
    <xf numFmtId="0" fontId="82" fillId="6" borderId="21" xfId="0" applyFont="1" applyFill="1" applyBorder="1" applyAlignment="1">
      <alignment horizontal="center"/>
    </xf>
    <xf numFmtId="0" fontId="82" fillId="6" borderId="61" xfId="0" applyFont="1" applyFill="1" applyBorder="1" applyAlignment="1">
      <alignment horizontal="center"/>
    </xf>
    <xf numFmtId="0" fontId="82" fillId="6" borderId="62" xfId="0" applyFont="1" applyFill="1" applyBorder="1" applyAlignment="1">
      <alignment horizontal="center"/>
    </xf>
    <xf numFmtId="0" fontId="82" fillId="6" borderId="59" xfId="0" applyFont="1" applyFill="1" applyBorder="1" applyAlignment="1">
      <alignment horizontal="center"/>
    </xf>
    <xf numFmtId="0" fontId="82" fillId="6" borderId="70" xfId="0" applyFont="1" applyFill="1" applyBorder="1" applyAlignment="1">
      <alignment horizontal="center"/>
    </xf>
    <xf numFmtId="0" fontId="81" fillId="6" borderId="12" xfId="0" applyFont="1" applyFill="1" applyBorder="1" applyAlignment="1">
      <alignment horizontal="center"/>
    </xf>
    <xf numFmtId="175" fontId="34" fillId="6" borderId="8" xfId="27" applyNumberFormat="1" applyFont="1" applyFill="1" applyBorder="1" applyAlignment="1">
      <alignment horizontal="right"/>
    </xf>
    <xf numFmtId="175" fontId="34" fillId="6" borderId="12" xfId="27" applyNumberFormat="1" applyFont="1" applyFill="1" applyBorder="1" applyAlignment="1">
      <alignment horizontal="right"/>
    </xf>
    <xf numFmtId="175" fontId="34" fillId="6" borderId="17" xfId="27" applyNumberFormat="1" applyFont="1" applyFill="1" applyBorder="1" applyAlignment="1">
      <alignment horizontal="right"/>
    </xf>
    <xf numFmtId="175" fontId="34" fillId="0" borderId="19" xfId="27" applyNumberFormat="1" applyFont="1" applyFill="1" applyBorder="1" applyAlignment="1">
      <alignment horizontal="right"/>
    </xf>
    <xf numFmtId="175" fontId="34" fillId="0" borderId="7" xfId="27" applyNumberFormat="1" applyFont="1" applyFill="1" applyBorder="1" applyAlignment="1">
      <alignment horizontal="right"/>
    </xf>
    <xf numFmtId="175" fontId="34" fillId="0" borderId="17" xfId="27" applyNumberFormat="1" applyFont="1" applyFill="1" applyBorder="1" applyAlignment="1">
      <alignment horizontal="right" vertical="center"/>
    </xf>
    <xf numFmtId="0" fontId="81" fillId="2" borderId="31" xfId="0" applyFont="1" applyFill="1" applyBorder="1" applyAlignment="1">
      <alignment horizontal="center"/>
    </xf>
    <xf numFmtId="175" fontId="34" fillId="0" borderId="8" xfId="27" applyNumberFormat="1" applyFont="1" applyFill="1" applyBorder="1" applyAlignment="1">
      <alignment horizontal="right"/>
    </xf>
    <xf numFmtId="49" fontId="81" fillId="0" borderId="52" xfId="0" applyNumberFormat="1" applyFont="1" applyFill="1" applyBorder="1" applyAlignment="1">
      <alignment horizontal="center" vertical="center"/>
    </xf>
    <xf numFmtId="0" fontId="81" fillId="0" borderId="71" xfId="0" applyFont="1" applyFill="1" applyBorder="1" applyAlignment="1">
      <alignment horizontal="left" vertical="center" wrapText="1"/>
    </xf>
    <xf numFmtId="0" fontId="81" fillId="0" borderId="52" xfId="0" applyFont="1" applyFill="1" applyBorder="1" applyAlignment="1">
      <alignment horizontal="center" vertical="center"/>
    </xf>
    <xf numFmtId="175" fontId="82" fillId="0" borderId="53" xfId="27" applyNumberFormat="1" applyFont="1" applyFill="1" applyBorder="1" applyAlignment="1">
      <alignment horizontal="right" vertical="center"/>
    </xf>
    <xf numFmtId="175" fontId="82" fillId="2" borderId="45" xfId="27" applyNumberFormat="1" applyFont="1" applyFill="1" applyBorder="1" applyAlignment="1">
      <alignment horizontal="center" vertical="center"/>
    </xf>
    <xf numFmtId="175" fontId="81" fillId="2" borderId="35" xfId="27" applyNumberFormat="1" applyFont="1" applyFill="1" applyBorder="1" applyAlignment="1">
      <alignment horizontal="center" vertical="center"/>
    </xf>
    <xf numFmtId="175" fontId="82" fillId="2" borderId="37" xfId="27" applyNumberFormat="1" applyFont="1" applyFill="1" applyBorder="1" applyAlignment="1">
      <alignment horizontal="center" vertical="center"/>
    </xf>
    <xf numFmtId="175" fontId="34" fillId="0" borderId="72" xfId="27" applyNumberFormat="1" applyFont="1" applyFill="1" applyBorder="1" applyAlignment="1">
      <alignment horizontal="right" vertical="center"/>
    </xf>
    <xf numFmtId="175" fontId="34" fillId="0" borderId="56" xfId="27" applyNumberFormat="1" applyFont="1" applyFill="1" applyBorder="1" applyAlignment="1">
      <alignment horizontal="right" vertical="center"/>
    </xf>
    <xf numFmtId="175" fontId="34" fillId="0" borderId="53" xfId="27" applyNumberFormat="1" applyFont="1" applyFill="1" applyBorder="1" applyAlignment="1">
      <alignment horizontal="right" vertical="center"/>
    </xf>
    <xf numFmtId="0" fontId="82" fillId="2" borderId="45" xfId="0" applyFont="1" applyFill="1" applyBorder="1" applyAlignment="1">
      <alignment horizontal="center"/>
    </xf>
    <xf numFmtId="0" fontId="82" fillId="2" borderId="35" xfId="0" applyFont="1" applyFill="1" applyBorder="1" applyAlignment="1">
      <alignment horizontal="center"/>
    </xf>
    <xf numFmtId="0" fontId="82" fillId="2" borderId="37" xfId="0" applyFont="1" applyFill="1" applyBorder="1" applyAlignment="1">
      <alignment horizontal="center"/>
    </xf>
    <xf numFmtId="0" fontId="81" fillId="2" borderId="34" xfId="0" applyFont="1" applyFill="1" applyBorder="1" applyAlignment="1">
      <alignment horizontal="center"/>
    </xf>
    <xf numFmtId="0" fontId="82" fillId="2" borderId="36" xfId="0" applyFont="1" applyFill="1" applyBorder="1" applyAlignment="1">
      <alignment horizontal="center"/>
    </xf>
    <xf numFmtId="0" fontId="81" fillId="0" borderId="7" xfId="0" applyFont="1" applyFill="1" applyBorder="1" applyAlignment="1">
      <alignment horizontal="center"/>
    </xf>
    <xf numFmtId="175" fontId="82" fillId="0" borderId="16" xfId="27" applyNumberFormat="1" applyFont="1" applyFill="1" applyBorder="1" applyAlignment="1">
      <alignment horizontal="right"/>
    </xf>
    <xf numFmtId="175" fontId="82" fillId="2" borderId="13" xfId="27" applyNumberFormat="1" applyFont="1" applyFill="1" applyBorder="1" applyAlignment="1">
      <alignment horizontal="center"/>
    </xf>
    <xf numFmtId="175" fontId="81" fillId="2" borderId="28" xfId="27" applyNumberFormat="1" applyFont="1" applyFill="1" applyBorder="1" applyAlignment="1">
      <alignment horizontal="center"/>
    </xf>
    <xf numFmtId="175" fontId="82" fillId="2" borderId="20" xfId="27" applyNumberFormat="1" applyFont="1" applyFill="1" applyBorder="1" applyAlignment="1">
      <alignment horizontal="center"/>
    </xf>
    <xf numFmtId="175" fontId="34" fillId="2" borderId="25" xfId="27" applyNumberFormat="1" applyFont="1" applyFill="1" applyBorder="1" applyAlignment="1">
      <alignment horizontal="right"/>
    </xf>
    <xf numFmtId="175" fontId="34" fillId="0" borderId="29" xfId="27" applyNumberFormat="1" applyFont="1" applyFill="1" applyBorder="1" applyAlignment="1">
      <alignment horizontal="right"/>
    </xf>
    <xf numFmtId="175" fontId="34" fillId="0" borderId="59" xfId="27" applyNumberFormat="1" applyFont="1" applyFill="1" applyBorder="1" applyAlignment="1">
      <alignment horizontal="right"/>
    </xf>
    <xf numFmtId="0" fontId="82" fillId="2" borderId="13" xfId="0" applyFont="1" applyFill="1" applyBorder="1" applyAlignment="1">
      <alignment horizontal="center"/>
    </xf>
    <xf numFmtId="0" fontId="81" fillId="2" borderId="28" xfId="0" applyFont="1" applyFill="1" applyBorder="1" applyAlignment="1">
      <alignment horizontal="center"/>
    </xf>
    <xf numFmtId="0" fontId="82" fillId="2" borderId="20" xfId="0" applyFont="1" applyFill="1" applyBorder="1" applyAlignment="1">
      <alignment horizontal="center"/>
    </xf>
    <xf numFmtId="0" fontId="82" fillId="2" borderId="13" xfId="0" applyFont="1" applyFill="1" applyBorder="1" applyAlignment="1">
      <alignment horizontal="center"/>
    </xf>
    <xf numFmtId="0" fontId="82" fillId="2" borderId="28" xfId="0" applyFont="1" applyFill="1" applyBorder="1" applyAlignment="1">
      <alignment horizontal="center"/>
    </xf>
    <xf numFmtId="0" fontId="82" fillId="2" borderId="27" xfId="0" applyFont="1" applyFill="1" applyBorder="1" applyAlignment="1">
      <alignment horizontal="center"/>
    </xf>
    <xf numFmtId="0" fontId="82" fillId="2" borderId="23" xfId="0" applyFont="1" applyFill="1" applyBorder="1" applyAlignment="1">
      <alignment horizontal="center"/>
    </xf>
    <xf numFmtId="175" fontId="82" fillId="0" borderId="71" xfId="27" applyNumberFormat="1" applyFont="1" applyFill="1" applyBorder="1" applyAlignment="1">
      <alignment horizontal="right"/>
    </xf>
    <xf numFmtId="175" fontId="82" fillId="2" borderId="45" xfId="27" applyNumberFormat="1" applyFont="1" applyFill="1" applyBorder="1" applyAlignment="1">
      <alignment horizontal="center"/>
    </xf>
    <xf numFmtId="175" fontId="81" fillId="2" borderId="73" xfId="27" applyNumberFormat="1" applyFont="1" applyFill="1" applyBorder="1" applyAlignment="1">
      <alignment horizontal="center"/>
    </xf>
    <xf numFmtId="175" fontId="82" fillId="2" borderId="67" xfId="27" applyNumberFormat="1" applyFont="1" applyFill="1" applyBorder="1" applyAlignment="1">
      <alignment horizontal="center"/>
    </xf>
    <xf numFmtId="175" fontId="34" fillId="2" borderId="26" xfId="27" applyNumberFormat="1" applyFont="1" applyFill="1" applyBorder="1" applyAlignment="1">
      <alignment horizontal="right"/>
    </xf>
    <xf numFmtId="175" fontId="34" fillId="0" borderId="52" xfId="27" applyNumberFormat="1" applyFont="1" applyFill="1" applyBorder="1" applyAlignment="1">
      <alignment horizontal="right"/>
    </xf>
    <xf numFmtId="175" fontId="34" fillId="0" borderId="34" xfId="27" applyNumberFormat="1" applyFont="1" applyFill="1" applyBorder="1" applyAlignment="1">
      <alignment horizontal="right"/>
    </xf>
    <xf numFmtId="0" fontId="82" fillId="2" borderId="68" xfId="0" applyFont="1" applyFill="1" applyBorder="1" applyAlignment="1">
      <alignment horizontal="center"/>
    </xf>
    <xf numFmtId="0" fontId="81" fillId="2" borderId="73" xfId="0" applyFont="1" applyFill="1" applyBorder="1" applyAlignment="1">
      <alignment horizontal="center"/>
    </xf>
    <xf numFmtId="0" fontId="82" fillId="2" borderId="67" xfId="0" applyFont="1" applyFill="1" applyBorder="1" applyAlignment="1">
      <alignment horizontal="center"/>
    </xf>
    <xf numFmtId="0" fontId="82" fillId="2" borderId="68" xfId="0" applyFont="1" applyFill="1" applyBorder="1" applyAlignment="1">
      <alignment horizontal="center"/>
    </xf>
    <xf numFmtId="0" fontId="82" fillId="2" borderId="73" xfId="0" applyFont="1" applyFill="1" applyBorder="1" applyAlignment="1">
      <alignment horizontal="center"/>
    </xf>
    <xf numFmtId="0" fontId="82" fillId="2" borderId="74" xfId="0" applyFont="1" applyFill="1" applyBorder="1" applyAlignment="1">
      <alignment horizontal="center"/>
    </xf>
    <xf numFmtId="0" fontId="82" fillId="2" borderId="75" xfId="0" applyFont="1" applyFill="1" applyBorder="1" applyAlignment="1">
      <alignment horizontal="center"/>
    </xf>
    <xf numFmtId="175" fontId="81" fillId="2" borderId="61" xfId="27" applyNumberFormat="1" applyFont="1" applyFill="1" applyBorder="1" applyAlignment="1">
      <alignment horizontal="center"/>
    </xf>
    <xf numFmtId="175" fontId="82" fillId="2" borderId="62" xfId="27" applyNumberFormat="1" applyFont="1" applyFill="1" applyBorder="1" applyAlignment="1">
      <alignment horizontal="center"/>
    </xf>
    <xf numFmtId="175" fontId="34" fillId="2" borderId="19" xfId="27" applyNumberFormat="1" applyFont="1" applyFill="1" applyBorder="1" applyAlignment="1">
      <alignment horizontal="right"/>
    </xf>
    <xf numFmtId="175" fontId="34" fillId="0" borderId="27" xfId="27" applyNumberFormat="1" applyFont="1" applyFill="1" applyBorder="1" applyAlignment="1">
      <alignment horizontal="right"/>
    </xf>
    <xf numFmtId="0" fontId="82" fillId="2" borderId="21" xfId="0" applyFont="1" applyFill="1" applyBorder="1" applyAlignment="1">
      <alignment horizontal="center"/>
    </xf>
    <xf numFmtId="0" fontId="81" fillId="2" borderId="61" xfId="0" applyFont="1" applyFill="1" applyBorder="1" applyAlignment="1">
      <alignment horizontal="center"/>
    </xf>
    <xf numFmtId="0" fontId="82" fillId="2" borderId="62" xfId="0" applyFont="1" applyFill="1" applyBorder="1" applyAlignment="1">
      <alignment horizontal="center"/>
    </xf>
    <xf numFmtId="0" fontId="82" fillId="2" borderId="21" xfId="0" applyFont="1" applyFill="1" applyBorder="1" applyAlignment="1">
      <alignment horizontal="center"/>
    </xf>
    <xf numFmtId="0" fontId="82" fillId="2" borderId="61" xfId="0" applyFont="1" applyFill="1" applyBorder="1" applyAlignment="1">
      <alignment horizontal="center"/>
    </xf>
    <xf numFmtId="0" fontId="82" fillId="2" borderId="59" xfId="0" applyFont="1" applyFill="1" applyBorder="1" applyAlignment="1">
      <alignment horizontal="center"/>
    </xf>
    <xf numFmtId="0" fontId="82" fillId="2" borderId="70" xfId="0" applyFont="1" applyFill="1" applyBorder="1" applyAlignment="1">
      <alignment horizontal="center"/>
    </xf>
    <xf numFmtId="175" fontId="81" fillId="2" borderId="35" xfId="27" applyNumberFormat="1" applyFont="1" applyFill="1" applyBorder="1" applyAlignment="1">
      <alignment horizontal="center"/>
    </xf>
    <xf numFmtId="175" fontId="82" fillId="2" borderId="37" xfId="27" applyNumberFormat="1" applyFont="1" applyFill="1" applyBorder="1" applyAlignment="1">
      <alignment horizontal="center"/>
    </xf>
    <xf numFmtId="175" fontId="34" fillId="2" borderId="72" xfId="27" applyNumberFormat="1" applyFont="1" applyFill="1" applyBorder="1" applyAlignment="1">
      <alignment horizontal="right"/>
    </xf>
    <xf numFmtId="175" fontId="34" fillId="0" borderId="56" xfId="27" applyNumberFormat="1" applyFont="1" applyFill="1" applyBorder="1" applyAlignment="1">
      <alignment horizontal="right"/>
    </xf>
    <xf numFmtId="175" fontId="34" fillId="0" borderId="74" xfId="27" applyNumberFormat="1" applyFont="1" applyFill="1" applyBorder="1" applyAlignment="1">
      <alignment horizontal="right"/>
    </xf>
    <xf numFmtId="0" fontId="82" fillId="2" borderId="45" xfId="0" applyFont="1" applyFill="1" applyBorder="1" applyAlignment="1">
      <alignment horizontal="center"/>
    </xf>
    <xf numFmtId="0" fontId="81" fillId="2" borderId="35" xfId="0" applyFont="1" applyFill="1" applyBorder="1" applyAlignment="1">
      <alignment horizontal="center"/>
    </xf>
    <xf numFmtId="0" fontId="82" fillId="2" borderId="34" xfId="0" applyFont="1" applyFill="1" applyBorder="1" applyAlignment="1">
      <alignment horizontal="center"/>
    </xf>
    <xf numFmtId="175" fontId="34" fillId="2" borderId="38" xfId="27" applyNumberFormat="1" applyFont="1" applyFill="1" applyBorder="1" applyAlignment="1">
      <alignment horizontal="right"/>
    </xf>
    <xf numFmtId="175" fontId="34" fillId="0" borderId="43" xfId="27" applyNumberFormat="1" applyFont="1" applyFill="1" applyBorder="1" applyAlignment="1">
      <alignment horizontal="right"/>
    </xf>
    <xf numFmtId="175" fontId="34" fillId="0" borderId="60" xfId="27" applyNumberFormat="1" applyFont="1" applyFill="1" applyBorder="1" applyAlignment="1">
      <alignment horizontal="right"/>
    </xf>
    <xf numFmtId="175" fontId="34" fillId="0" borderId="31" xfId="27" applyNumberFormat="1" applyFont="1" applyFill="1" applyBorder="1" applyAlignment="1">
      <alignment horizontal="right"/>
    </xf>
    <xf numFmtId="175" fontId="34" fillId="2" borderId="39" xfId="27" applyNumberFormat="1" applyFont="1" applyFill="1" applyBorder="1" applyAlignment="1">
      <alignment horizontal="right"/>
    </xf>
    <xf numFmtId="175" fontId="34" fillId="0" borderId="44" xfId="27" applyNumberFormat="1" applyFont="1" applyFill="1" applyBorder="1" applyAlignment="1">
      <alignment horizontal="right"/>
    </xf>
    <xf numFmtId="175" fontId="34" fillId="0" borderId="49" xfId="27" applyNumberFormat="1" applyFont="1" applyFill="1" applyBorder="1" applyAlignment="1">
      <alignment horizontal="right"/>
    </xf>
    <xf numFmtId="0" fontId="81" fillId="0" borderId="29" xfId="0" applyFont="1" applyFill="1" applyBorder="1" applyAlignment="1">
      <alignment horizontal="center"/>
    </xf>
    <xf numFmtId="175" fontId="82" fillId="0" borderId="22" xfId="27" applyNumberFormat="1" applyFont="1" applyFill="1" applyBorder="1" applyAlignment="1">
      <alignment horizontal="right"/>
    </xf>
    <xf numFmtId="175" fontId="82" fillId="2" borderId="68" xfId="27" applyNumberFormat="1" applyFont="1" applyFill="1" applyBorder="1" applyAlignment="1">
      <alignment horizontal="center"/>
    </xf>
    <xf numFmtId="175" fontId="82" fillId="2" borderId="21" xfId="27" applyNumberFormat="1" applyFont="1" applyFill="1" applyBorder="1" applyAlignment="1">
      <alignment horizontal="center"/>
    </xf>
    <xf numFmtId="175" fontId="82" fillId="0" borderId="64" xfId="27" applyNumberFormat="1" applyFont="1" applyFill="1" applyBorder="1" applyAlignment="1">
      <alignment horizontal="right"/>
    </xf>
    <xf numFmtId="175" fontId="82" fillId="0" borderId="21" xfId="27" applyNumberFormat="1" applyFont="1" applyFill="1" applyBorder="1" applyAlignment="1">
      <alignment horizontal="center"/>
    </xf>
    <xf numFmtId="175" fontId="81" fillId="0" borderId="61" xfId="27" applyNumberFormat="1" applyFont="1" applyFill="1" applyBorder="1" applyAlignment="1">
      <alignment horizontal="center"/>
    </xf>
    <xf numFmtId="175" fontId="82" fillId="0" borderId="62" xfId="27" applyNumberFormat="1" applyFont="1" applyFill="1" applyBorder="1" applyAlignment="1">
      <alignment horizontal="center"/>
    </xf>
    <xf numFmtId="175" fontId="34" fillId="0" borderId="25" xfId="27" applyNumberFormat="1" applyFont="1" applyFill="1" applyBorder="1" applyAlignment="1">
      <alignment horizontal="right"/>
    </xf>
    <xf numFmtId="0" fontId="82" fillId="0" borderId="21" xfId="0" applyFont="1" applyFill="1" applyBorder="1" applyAlignment="1">
      <alignment horizontal="center"/>
    </xf>
    <xf numFmtId="0" fontId="81" fillId="0" borderId="61" xfId="0" applyFont="1" applyFill="1" applyBorder="1" applyAlignment="1">
      <alignment horizontal="center"/>
    </xf>
    <xf numFmtId="0" fontId="82" fillId="0" borderId="62" xfId="0" applyFont="1" applyFill="1" applyBorder="1" applyAlignment="1">
      <alignment horizontal="center"/>
    </xf>
    <xf numFmtId="175" fontId="82" fillId="0" borderId="45" xfId="27" applyNumberFormat="1" applyFont="1" applyFill="1" applyBorder="1" applyAlignment="1">
      <alignment horizontal="center"/>
    </xf>
    <xf numFmtId="175" fontId="81" fillId="0" borderId="35" xfId="27" applyNumberFormat="1" applyFont="1" applyFill="1" applyBorder="1" applyAlignment="1">
      <alignment horizontal="center"/>
    </xf>
    <xf numFmtId="175" fontId="82" fillId="0" borderId="37" xfId="27" applyNumberFormat="1" applyFont="1" applyFill="1" applyBorder="1" applyAlignment="1">
      <alignment horizontal="center"/>
    </xf>
    <xf numFmtId="175" fontId="34" fillId="0" borderId="26" xfId="27" applyNumberFormat="1" applyFont="1" applyFill="1" applyBorder="1" applyAlignment="1">
      <alignment horizontal="right"/>
    </xf>
    <xf numFmtId="0" fontId="82" fillId="0" borderId="45" xfId="0" applyFont="1" applyFill="1" applyBorder="1" applyAlignment="1">
      <alignment horizontal="center"/>
    </xf>
    <xf numFmtId="0" fontId="81" fillId="0" borderId="35" xfId="0" applyFont="1" applyFill="1" applyBorder="1" applyAlignment="1">
      <alignment horizontal="center"/>
    </xf>
    <xf numFmtId="0" fontId="82" fillId="0" borderId="37" xfId="0" applyFont="1" applyFill="1" applyBorder="1" applyAlignment="1">
      <alignment horizontal="center"/>
    </xf>
    <xf numFmtId="0" fontId="81" fillId="0" borderId="7" xfId="0" applyFont="1" applyBorder="1" applyAlignment="1">
      <alignment horizontal="center" vertical="center"/>
    </xf>
    <xf numFmtId="175" fontId="82" fillId="0" borderId="16" xfId="27" applyNumberFormat="1" applyFont="1" applyFill="1" applyBorder="1" applyAlignment="1">
      <alignment horizontal="right" vertical="center"/>
    </xf>
    <xf numFmtId="175" fontId="82" fillId="2" borderId="21" xfId="27" applyNumberFormat="1" applyFont="1" applyFill="1" applyBorder="1" applyAlignment="1">
      <alignment horizontal="center" vertical="center"/>
    </xf>
    <xf numFmtId="175" fontId="81" fillId="2" borderId="61" xfId="27" applyNumberFormat="1" applyFont="1" applyFill="1" applyBorder="1" applyAlignment="1">
      <alignment horizontal="center" vertical="center"/>
    </xf>
    <xf numFmtId="175" fontId="82" fillId="2" borderId="62" xfId="27" applyNumberFormat="1" applyFont="1" applyFill="1" applyBorder="1" applyAlignment="1">
      <alignment horizontal="center" vertical="center"/>
    </xf>
    <xf numFmtId="175" fontId="34" fillId="2" borderId="25" xfId="27" applyNumberFormat="1" applyFont="1" applyFill="1" applyBorder="1" applyAlignment="1">
      <alignment horizontal="right" vertical="center"/>
    </xf>
    <xf numFmtId="175" fontId="34" fillId="0" borderId="29" xfId="27" applyNumberFormat="1" applyFont="1" applyFill="1" applyBorder="1" applyAlignment="1">
      <alignment horizontal="right" vertical="center"/>
    </xf>
    <xf numFmtId="175" fontId="34" fillId="0" borderId="59" xfId="27" applyNumberFormat="1" applyFont="1" applyFill="1" applyBorder="1" applyAlignment="1">
      <alignment horizontal="right" vertical="center"/>
    </xf>
    <xf numFmtId="0" fontId="81" fillId="0" borderId="52" xfId="0" applyFont="1" applyBorder="1" applyAlignment="1">
      <alignment horizontal="center" vertical="center"/>
    </xf>
    <xf numFmtId="175" fontId="34" fillId="2" borderId="26" xfId="27" applyNumberFormat="1" applyFont="1" applyFill="1" applyBorder="1" applyAlignment="1">
      <alignment horizontal="right" vertical="center"/>
    </xf>
    <xf numFmtId="175" fontId="34" fillId="0" borderId="52" xfId="27" applyNumberFormat="1" applyFont="1" applyFill="1" applyBorder="1" applyAlignment="1">
      <alignment horizontal="right" vertical="center"/>
    </xf>
    <xf numFmtId="175" fontId="34" fillId="0" borderId="34" xfId="27" applyNumberFormat="1" applyFont="1" applyFill="1" applyBorder="1" applyAlignment="1">
      <alignment horizontal="right" vertical="center"/>
    </xf>
    <xf numFmtId="175" fontId="82" fillId="2" borderId="45" xfId="27" applyNumberFormat="1" applyFont="1" applyFill="1" applyBorder="1" applyAlignment="1">
      <alignment horizontal="center"/>
    </xf>
    <xf numFmtId="175" fontId="82" fillId="2" borderId="28" xfId="27" applyNumberFormat="1" applyFont="1" applyFill="1" applyBorder="1" applyAlignment="1">
      <alignment horizontal="center"/>
    </xf>
    <xf numFmtId="175" fontId="82" fillId="2" borderId="20" xfId="27" applyNumberFormat="1" applyFont="1" applyFill="1" applyBorder="1" applyAlignment="1">
      <alignment horizontal="center"/>
    </xf>
    <xf numFmtId="0" fontId="82" fillId="2" borderId="28" xfId="0" applyFont="1" applyFill="1" applyBorder="1" applyAlignment="1">
      <alignment horizontal="center"/>
    </xf>
    <xf numFmtId="0" fontId="82" fillId="2" borderId="20" xfId="0" applyFont="1" applyFill="1" applyBorder="1" applyAlignment="1">
      <alignment horizontal="center"/>
    </xf>
    <xf numFmtId="0" fontId="82" fillId="2" borderId="27" xfId="0" applyFont="1" applyFill="1" applyBorder="1" applyAlignment="1">
      <alignment horizontal="center"/>
    </xf>
    <xf numFmtId="0" fontId="82" fillId="2" borderId="23" xfId="0" applyFont="1" applyFill="1" applyBorder="1" applyAlignment="1">
      <alignment horizontal="center"/>
    </xf>
    <xf numFmtId="175" fontId="82" fillId="2" borderId="73" xfId="27" applyNumberFormat="1" applyFont="1" applyFill="1" applyBorder="1" applyAlignment="1">
      <alignment horizontal="center"/>
    </xf>
    <xf numFmtId="175" fontId="82" fillId="2" borderId="67" xfId="27" applyNumberFormat="1" applyFont="1" applyFill="1" applyBorder="1" applyAlignment="1">
      <alignment horizontal="center"/>
    </xf>
    <xf numFmtId="0" fontId="82" fillId="2" borderId="73" xfId="0" applyFont="1" applyFill="1" applyBorder="1" applyAlignment="1">
      <alignment horizontal="center"/>
    </xf>
    <xf numFmtId="0" fontId="82" fillId="2" borderId="67" xfId="0" applyFont="1" applyFill="1" applyBorder="1" applyAlignment="1">
      <alignment horizontal="center"/>
    </xf>
    <xf numFmtId="0" fontId="82" fillId="2" borderId="74" xfId="0" applyFont="1" applyFill="1" applyBorder="1" applyAlignment="1">
      <alignment horizontal="center"/>
    </xf>
    <xf numFmtId="0" fontId="82" fillId="2" borderId="75" xfId="0" applyFont="1" applyFill="1" applyBorder="1" applyAlignment="1">
      <alignment horizontal="center"/>
    </xf>
    <xf numFmtId="0" fontId="81" fillId="0" borderId="56" xfId="0" applyFont="1" applyFill="1" applyBorder="1" applyAlignment="1">
      <alignment horizontal="center"/>
    </xf>
    <xf numFmtId="175" fontId="34" fillId="0" borderId="72" xfId="27" applyNumberFormat="1" applyFont="1" applyFill="1" applyBorder="1" applyAlignment="1">
      <alignment horizontal="right"/>
    </xf>
    <xf numFmtId="49" fontId="81" fillId="4" borderId="3" xfId="0" applyNumberFormat="1" applyFont="1" applyFill="1" applyBorder="1" applyAlignment="1">
      <alignment horizontal="center" vertical="center"/>
    </xf>
    <xf numFmtId="0" fontId="82" fillId="4" borderId="1" xfId="0" applyFont="1" applyFill="1" applyBorder="1" applyAlignment="1">
      <alignment horizontal="left" vertical="center"/>
    </xf>
    <xf numFmtId="0" fontId="81" fillId="4" borderId="3" xfId="0" applyFont="1" applyFill="1" applyBorder="1" applyAlignment="1">
      <alignment horizontal="center"/>
    </xf>
    <xf numFmtId="175" fontId="82" fillId="4" borderId="9" xfId="27" applyNumberFormat="1" applyFont="1" applyFill="1" applyBorder="1" applyAlignment="1">
      <alignment horizontal="right"/>
    </xf>
    <xf numFmtId="175" fontId="82" fillId="4" borderId="10" xfId="27" applyNumberFormat="1" applyFont="1" applyFill="1" applyBorder="1" applyAlignment="1">
      <alignment horizontal="center"/>
    </xf>
    <xf numFmtId="175" fontId="81" fillId="4" borderId="33" xfId="27" applyNumberFormat="1" applyFont="1" applyFill="1" applyBorder="1" applyAlignment="1">
      <alignment horizontal="center"/>
    </xf>
    <xf numFmtId="175" fontId="82" fillId="4" borderId="6" xfId="27" applyNumberFormat="1" applyFont="1" applyFill="1" applyBorder="1" applyAlignment="1">
      <alignment horizontal="center"/>
    </xf>
    <xf numFmtId="175" fontId="34" fillId="4" borderId="2" xfId="27" applyNumberFormat="1" applyFont="1" applyFill="1" applyBorder="1" applyAlignment="1">
      <alignment horizontal="right"/>
    </xf>
    <xf numFmtId="175" fontId="34" fillId="4" borderId="3" xfId="27" applyNumberFormat="1" applyFont="1" applyFill="1" applyBorder="1" applyAlignment="1">
      <alignment horizontal="right"/>
    </xf>
    <xf numFmtId="175" fontId="34" fillId="4" borderId="11" xfId="27" applyNumberFormat="1" applyFont="1" applyFill="1" applyBorder="1" applyAlignment="1">
      <alignment horizontal="right"/>
    </xf>
    <xf numFmtId="0" fontId="82" fillId="4" borderId="10" xfId="0" applyFont="1" applyFill="1" applyBorder="1" applyAlignment="1">
      <alignment horizontal="center"/>
    </xf>
    <xf numFmtId="0" fontId="81" fillId="4" borderId="33" xfId="0" applyFont="1" applyFill="1" applyBorder="1" applyAlignment="1">
      <alignment horizontal="center"/>
    </xf>
    <xf numFmtId="0" fontId="82" fillId="4" borderId="6" xfId="0" applyFont="1" applyFill="1" applyBorder="1" applyAlignment="1">
      <alignment horizontal="center"/>
    </xf>
    <xf numFmtId="0" fontId="82" fillId="4" borderId="33" xfId="0" applyFont="1" applyFill="1" applyBorder="1" applyAlignment="1">
      <alignment horizontal="center"/>
    </xf>
    <xf numFmtId="0" fontId="82" fillId="4" borderId="11" xfId="0" applyFont="1" applyFill="1" applyBorder="1" applyAlignment="1">
      <alignment horizontal="center"/>
    </xf>
    <xf numFmtId="0" fontId="82" fillId="4" borderId="5" xfId="0" applyFont="1" applyFill="1" applyBorder="1" applyAlignment="1">
      <alignment horizontal="center"/>
    </xf>
    <xf numFmtId="0" fontId="81" fillId="6" borderId="7" xfId="0" applyFont="1" applyFill="1" applyBorder="1" applyAlignment="1">
      <alignment horizontal="center"/>
    </xf>
    <xf numFmtId="175" fontId="82" fillId="6" borderId="13" xfId="27" applyNumberFormat="1" applyFont="1" applyFill="1" applyBorder="1" applyAlignment="1">
      <alignment horizontal="center"/>
    </xf>
    <xf numFmtId="175" fontId="81" fillId="6" borderId="28" xfId="27" applyNumberFormat="1" applyFont="1" applyFill="1" applyBorder="1" applyAlignment="1">
      <alignment horizontal="center"/>
    </xf>
    <xf numFmtId="175" fontId="82" fillId="6" borderId="20" xfId="27" applyNumberFormat="1" applyFont="1" applyFill="1" applyBorder="1" applyAlignment="1">
      <alignment horizontal="center"/>
    </xf>
    <xf numFmtId="175" fontId="34" fillId="6" borderId="19" xfId="27" applyNumberFormat="1" applyFont="1" applyFill="1" applyBorder="1" applyAlignment="1">
      <alignment horizontal="right"/>
    </xf>
    <xf numFmtId="175" fontId="5" fillId="6" borderId="7" xfId="27" applyNumberFormat="1" applyFont="1" applyFill="1" applyBorder="1" applyAlignment="1">
      <alignment horizontal="right"/>
    </xf>
    <xf numFmtId="175" fontId="5" fillId="6" borderId="27" xfId="27" applyNumberFormat="1" applyFont="1" applyFill="1" applyBorder="1" applyAlignment="1">
      <alignment horizontal="right"/>
    </xf>
    <xf numFmtId="0" fontId="82" fillId="6" borderId="13" xfId="0" applyFont="1" applyFill="1" applyBorder="1" applyAlignment="1">
      <alignment horizontal="center"/>
    </xf>
    <xf numFmtId="0" fontId="81" fillId="6" borderId="28" xfId="0" applyFont="1" applyFill="1" applyBorder="1" applyAlignment="1">
      <alignment horizontal="center"/>
    </xf>
    <xf numFmtId="0" fontId="82" fillId="6" borderId="20" xfId="0" applyFont="1" applyFill="1" applyBorder="1" applyAlignment="1">
      <alignment horizontal="center"/>
    </xf>
    <xf numFmtId="0" fontId="82" fillId="6" borderId="28" xfId="0" applyFont="1" applyFill="1" applyBorder="1" applyAlignment="1">
      <alignment horizontal="center"/>
    </xf>
    <xf numFmtId="0" fontId="82" fillId="6" borderId="27" xfId="0" applyFont="1" applyFill="1" applyBorder="1" applyAlignment="1">
      <alignment horizontal="center"/>
    </xf>
    <xf numFmtId="0" fontId="82" fillId="6" borderId="23" xfId="0" applyFont="1" applyFill="1" applyBorder="1" applyAlignment="1">
      <alignment horizontal="center"/>
    </xf>
    <xf numFmtId="175" fontId="82" fillId="6" borderId="24" xfId="27" applyNumberFormat="1" applyFont="1" applyFill="1" applyBorder="1" applyAlignment="1">
      <alignment horizontal="center"/>
    </xf>
    <xf numFmtId="175" fontId="81" fillId="6" borderId="30" xfId="27" applyNumberFormat="1" applyFont="1" applyFill="1" applyBorder="1" applyAlignment="1">
      <alignment horizontal="center"/>
    </xf>
    <xf numFmtId="175" fontId="82" fillId="6" borderId="14" xfId="27" applyNumberFormat="1" applyFont="1" applyFill="1" applyBorder="1" applyAlignment="1">
      <alignment horizontal="center"/>
    </xf>
    <xf numFmtId="175" fontId="5" fillId="6" borderId="12" xfId="27" applyNumberFormat="1" applyFont="1" applyFill="1" applyBorder="1" applyAlignment="1">
      <alignment horizontal="right"/>
    </xf>
    <xf numFmtId="175" fontId="5" fillId="6" borderId="31" xfId="27" applyNumberFormat="1" applyFont="1" applyFill="1" applyBorder="1" applyAlignment="1">
      <alignment horizontal="right"/>
    </xf>
    <xf numFmtId="0" fontId="82" fillId="6" borderId="24" xfId="0" applyFont="1" applyFill="1" applyBorder="1" applyAlignment="1">
      <alignment horizontal="center"/>
    </xf>
    <xf numFmtId="0" fontId="81" fillId="6" borderId="30" xfId="0" applyFont="1" applyFill="1" applyBorder="1" applyAlignment="1">
      <alignment horizontal="center"/>
    </xf>
    <xf numFmtId="0" fontId="82" fillId="6" borderId="14" xfId="0" applyFont="1" applyFill="1" applyBorder="1" applyAlignment="1">
      <alignment horizontal="center"/>
    </xf>
    <xf numFmtId="0" fontId="82" fillId="6" borderId="30" xfId="0" applyFont="1" applyFill="1" applyBorder="1" applyAlignment="1">
      <alignment horizontal="center"/>
    </xf>
    <xf numFmtId="0" fontId="82" fillId="6" borderId="31" xfId="0" applyFont="1" applyFill="1" applyBorder="1" applyAlignment="1">
      <alignment horizontal="center"/>
    </xf>
    <xf numFmtId="0" fontId="82" fillId="6" borderId="32" xfId="0" applyFont="1" applyFill="1" applyBorder="1" applyAlignment="1">
      <alignment horizontal="center"/>
    </xf>
    <xf numFmtId="175" fontId="82" fillId="2" borderId="24" xfId="27" applyNumberFormat="1" applyFont="1" applyFill="1" applyBorder="1" applyAlignment="1">
      <alignment horizontal="center"/>
    </xf>
    <xf numFmtId="175" fontId="82" fillId="2" borderId="30" xfId="27" applyNumberFormat="1" applyFont="1" applyFill="1" applyBorder="1" applyAlignment="1">
      <alignment horizontal="center"/>
    </xf>
    <xf numFmtId="175" fontId="5" fillId="0" borderId="12" xfId="27" applyNumberFormat="1" applyFont="1" applyFill="1" applyBorder="1" applyAlignment="1">
      <alignment horizontal="right"/>
    </xf>
    <xf numFmtId="175" fontId="5" fillId="0" borderId="31" xfId="27" applyNumberFormat="1" applyFont="1" applyFill="1" applyBorder="1" applyAlignment="1">
      <alignment horizontal="right"/>
    </xf>
    <xf numFmtId="2" fontId="81" fillId="2" borderId="30" xfId="0" applyNumberFormat="1" applyFont="1" applyFill="1" applyBorder="1" applyAlignment="1">
      <alignment horizontal="center"/>
    </xf>
    <xf numFmtId="175" fontId="82" fillId="2" borderId="45" xfId="27" applyNumberFormat="1" applyFont="1" applyFill="1" applyBorder="1" applyAlignment="1">
      <alignment horizontal="center" vertical="center"/>
    </xf>
    <xf numFmtId="175" fontId="82" fillId="2" borderId="35" xfId="27" applyNumberFormat="1" applyFont="1" applyFill="1" applyBorder="1" applyAlignment="1">
      <alignment horizontal="center" vertical="center"/>
    </xf>
    <xf numFmtId="0" fontId="82" fillId="2" borderId="45" xfId="0" applyFont="1" applyFill="1" applyBorder="1" applyAlignment="1">
      <alignment horizontal="center" vertical="center"/>
    </xf>
    <xf numFmtId="0" fontId="82" fillId="2" borderId="35" xfId="0" applyFont="1" applyFill="1" applyBorder="1" applyAlignment="1">
      <alignment horizontal="center" vertical="center"/>
    </xf>
    <xf numFmtId="0" fontId="82" fillId="2" borderId="37" xfId="0" applyFont="1" applyFill="1" applyBorder="1" applyAlignment="1">
      <alignment horizontal="center" vertical="center"/>
    </xf>
    <xf numFmtId="0" fontId="82" fillId="2" borderId="34" xfId="0" applyFont="1" applyFill="1" applyBorder="1" applyAlignment="1">
      <alignment horizontal="center" vertical="center"/>
    </xf>
    <xf numFmtId="0" fontId="82" fillId="2" borderId="36" xfId="0" applyFont="1" applyFill="1" applyBorder="1" applyAlignment="1">
      <alignment horizontal="center" vertical="center"/>
    </xf>
    <xf numFmtId="175" fontId="82" fillId="2" borderId="13" xfId="27" applyNumberFormat="1" applyFont="1" applyFill="1" applyBorder="1" applyAlignment="1">
      <alignment horizontal="center"/>
    </xf>
    <xf numFmtId="175" fontId="82" fillId="2" borderId="68" xfId="27" applyNumberFormat="1" applyFont="1" applyFill="1" applyBorder="1" applyAlignment="1">
      <alignment horizontal="center"/>
    </xf>
    <xf numFmtId="175" fontId="82" fillId="2" borderId="21" xfId="27" applyNumberFormat="1" applyFont="1" applyFill="1" applyBorder="1" applyAlignment="1">
      <alignment horizontal="center"/>
    </xf>
    <xf numFmtId="175" fontId="82" fillId="2" borderId="35" xfId="27" applyNumberFormat="1" applyFont="1" applyFill="1" applyBorder="1" applyAlignment="1">
      <alignment horizontal="center"/>
    </xf>
    <xf numFmtId="0" fontId="81" fillId="4" borderId="51" xfId="0" applyFont="1" applyFill="1" applyBorder="1" applyAlignment="1">
      <alignment horizontal="center" vertical="center"/>
    </xf>
    <xf numFmtId="0" fontId="82" fillId="4" borderId="0" xfId="0" applyFont="1" applyFill="1" applyBorder="1" applyAlignment="1">
      <alignment horizontal="left" vertical="center" wrapText="1"/>
    </xf>
    <xf numFmtId="0" fontId="81" fillId="4" borderId="51" xfId="0" applyFont="1" applyFill="1" applyBorder="1" applyAlignment="1">
      <alignment horizontal="center"/>
    </xf>
    <xf numFmtId="175" fontId="82" fillId="4" borderId="58" xfId="27" applyNumberFormat="1" applyFont="1" applyFill="1" applyBorder="1" applyAlignment="1">
      <alignment/>
    </xf>
    <xf numFmtId="175" fontId="81" fillId="4" borderId="76" xfId="27" applyNumberFormat="1" applyFont="1" applyFill="1" applyBorder="1" applyAlignment="1">
      <alignment/>
    </xf>
    <xf numFmtId="175" fontId="81" fillId="4" borderId="77" xfId="27" applyNumberFormat="1" applyFont="1" applyFill="1" applyBorder="1" applyAlignment="1">
      <alignment/>
    </xf>
    <xf numFmtId="175" fontId="34" fillId="4" borderId="39" xfId="27" applyNumberFormat="1" applyFont="1" applyFill="1" applyBorder="1" applyAlignment="1">
      <alignment horizontal="right"/>
    </xf>
    <xf numFmtId="175" fontId="34" fillId="4" borderId="44" xfId="27" applyNumberFormat="1" applyFont="1" applyFill="1" applyBorder="1" applyAlignment="1">
      <alignment horizontal="right"/>
    </xf>
    <xf numFmtId="175" fontId="34" fillId="4" borderId="49" xfId="27" applyNumberFormat="1" applyFont="1" applyFill="1" applyBorder="1" applyAlignment="1">
      <alignment horizontal="right"/>
    </xf>
    <xf numFmtId="0" fontId="82" fillId="4" borderId="58" xfId="0" applyFont="1" applyFill="1" applyBorder="1"/>
    <xf numFmtId="0" fontId="81" fillId="4" borderId="76" xfId="0" applyFont="1" applyFill="1" applyBorder="1"/>
    <xf numFmtId="0" fontId="81" fillId="4" borderId="77" xfId="0" applyFont="1" applyFill="1" applyBorder="1"/>
    <xf numFmtId="0" fontId="82" fillId="4" borderId="76" xfId="0" applyFont="1" applyFill="1" applyBorder="1"/>
    <xf numFmtId="0" fontId="82" fillId="4" borderId="78" xfId="0" applyFont="1" applyFill="1" applyBorder="1"/>
    <xf numFmtId="0" fontId="82" fillId="4" borderId="66" xfId="0" applyFont="1" applyFill="1" applyBorder="1"/>
    <xf numFmtId="0" fontId="82" fillId="4" borderId="77" xfId="0" applyFont="1" applyFill="1" applyBorder="1"/>
    <xf numFmtId="0" fontId="81" fillId="0" borderId="29" xfId="0" applyFont="1" applyBorder="1" applyAlignment="1">
      <alignment horizontal="center"/>
    </xf>
    <xf numFmtId="175" fontId="82" fillId="2" borderId="21" xfId="27" applyNumberFormat="1" applyFont="1" applyFill="1" applyBorder="1" applyAlignment="1">
      <alignment/>
    </xf>
    <xf numFmtId="175" fontId="81" fillId="2" borderId="61" xfId="27" applyNumberFormat="1" applyFont="1" applyFill="1" applyBorder="1" applyAlignment="1">
      <alignment/>
    </xf>
    <xf numFmtId="175" fontId="81" fillId="2" borderId="62" xfId="27" applyNumberFormat="1" applyFont="1" applyFill="1" applyBorder="1" applyAlignment="1">
      <alignment/>
    </xf>
    <xf numFmtId="0" fontId="82" fillId="2" borderId="21" xfId="0" applyFont="1" applyFill="1" applyBorder="1"/>
    <xf numFmtId="0" fontId="81" fillId="2" borderId="61" xfId="0" applyFont="1" applyFill="1" applyBorder="1"/>
    <xf numFmtId="0" fontId="81" fillId="2" borderId="62" xfId="0" applyFont="1" applyFill="1" applyBorder="1"/>
    <xf numFmtId="0" fontId="82" fillId="2" borderId="61" xfId="0" applyFont="1" applyFill="1" applyBorder="1"/>
    <xf numFmtId="0" fontId="82" fillId="2" borderId="59" xfId="0" applyFont="1" applyFill="1" applyBorder="1"/>
    <xf numFmtId="0" fontId="82" fillId="2" borderId="70" xfId="0" applyFont="1" applyFill="1" applyBorder="1"/>
    <xf numFmtId="0" fontId="82" fillId="2" borderId="62" xfId="0" applyFont="1" applyFill="1" applyBorder="1"/>
    <xf numFmtId="0" fontId="81" fillId="0" borderId="52" xfId="0" applyFont="1" applyBorder="1" applyAlignment="1">
      <alignment horizontal="center"/>
    </xf>
    <xf numFmtId="175" fontId="82" fillId="2" borderId="45" xfId="27" applyNumberFormat="1" applyFont="1" applyFill="1" applyBorder="1" applyAlignment="1">
      <alignment/>
    </xf>
    <xf numFmtId="175" fontId="81" fillId="2" borderId="35" xfId="27" applyNumberFormat="1" applyFont="1" applyFill="1" applyBorder="1" applyAlignment="1">
      <alignment/>
    </xf>
    <xf numFmtId="175" fontId="81" fillId="2" borderId="37" xfId="27" applyNumberFormat="1" applyFont="1" applyFill="1" applyBorder="1" applyAlignment="1">
      <alignment/>
    </xf>
    <xf numFmtId="0" fontId="82" fillId="2" borderId="45" xfId="0" applyFont="1" applyFill="1" applyBorder="1"/>
    <xf numFmtId="0" fontId="81" fillId="2" borderId="35" xfId="0" applyFont="1" applyFill="1" applyBorder="1"/>
    <xf numFmtId="0" fontId="81" fillId="2" borderId="37" xfId="0" applyFont="1" applyFill="1" applyBorder="1"/>
    <xf numFmtId="0" fontId="82" fillId="2" borderId="35" xfId="0" applyFont="1" applyFill="1" applyBorder="1"/>
    <xf numFmtId="0" fontId="82" fillId="2" borderId="34" xfId="0" applyFont="1" applyFill="1" applyBorder="1"/>
    <xf numFmtId="0" fontId="82" fillId="2" borderId="36" xfId="0" applyFont="1" applyFill="1" applyBorder="1"/>
    <xf numFmtId="0" fontId="82" fillId="2" borderId="37" xfId="0" applyFont="1" applyFill="1" applyBorder="1"/>
    <xf numFmtId="2" fontId="81" fillId="0" borderId="7" xfId="0" applyNumberFormat="1" applyFont="1" applyBorder="1" applyAlignment="1">
      <alignment horizontal="center"/>
    </xf>
    <xf numFmtId="175" fontId="82" fillId="2" borderId="13" xfId="27" applyNumberFormat="1" applyFont="1" applyFill="1" applyBorder="1" applyAlignment="1">
      <alignment/>
    </xf>
    <xf numFmtId="175" fontId="81" fillId="2" borderId="28" xfId="27" applyNumberFormat="1" applyFont="1" applyFill="1" applyBorder="1" applyAlignment="1">
      <alignment/>
    </xf>
    <xf numFmtId="175" fontId="81" fillId="2" borderId="20" xfId="27" applyNumberFormat="1" applyFont="1" applyFill="1" applyBorder="1" applyAlignment="1">
      <alignment/>
    </xf>
    <xf numFmtId="0" fontId="82" fillId="2" borderId="13" xfId="0" applyFont="1" applyFill="1" applyBorder="1"/>
    <xf numFmtId="0" fontId="81" fillId="2" borderId="28" xfId="0" applyFont="1" applyFill="1" applyBorder="1"/>
    <xf numFmtId="0" fontId="81" fillId="2" borderId="20" xfId="0" applyFont="1" applyFill="1" applyBorder="1"/>
    <xf numFmtId="0" fontId="82" fillId="2" borderId="28" xfId="0" applyFont="1" applyFill="1" applyBorder="1"/>
    <xf numFmtId="0" fontId="82" fillId="2" borderId="27" xfId="0" applyFont="1" applyFill="1" applyBorder="1"/>
    <xf numFmtId="0" fontId="82" fillId="2" borderId="23" xfId="0" applyFont="1" applyFill="1" applyBorder="1"/>
    <xf numFmtId="0" fontId="82" fillId="2" borderId="20" xfId="0" applyFont="1" applyFill="1" applyBorder="1"/>
    <xf numFmtId="175" fontId="82" fillId="2" borderId="68" xfId="27" applyNumberFormat="1" applyFont="1" applyFill="1" applyBorder="1" applyAlignment="1">
      <alignment/>
    </xf>
    <xf numFmtId="175" fontId="81" fillId="2" borderId="73" xfId="27" applyNumberFormat="1" applyFont="1" applyFill="1" applyBorder="1" applyAlignment="1">
      <alignment/>
    </xf>
    <xf numFmtId="0" fontId="81" fillId="2" borderId="73" xfId="0" applyFont="1" applyFill="1" applyBorder="1"/>
    <xf numFmtId="0" fontId="81" fillId="2" borderId="67" xfId="0" applyFont="1" applyFill="1" applyBorder="1"/>
    <xf numFmtId="0" fontId="82" fillId="2" borderId="68" xfId="0" applyFont="1" applyFill="1" applyBorder="1"/>
    <xf numFmtId="0" fontId="82" fillId="2" borderId="73" xfId="0" applyFont="1" applyFill="1" applyBorder="1"/>
    <xf numFmtId="0" fontId="82" fillId="2" borderId="74" xfId="0" applyFont="1" applyFill="1" applyBorder="1"/>
    <xf numFmtId="0" fontId="82" fillId="2" borderId="75" xfId="0" applyFont="1" applyFill="1" applyBorder="1"/>
    <xf numFmtId="0" fontId="82" fillId="2" borderId="67" xfId="0" applyFont="1" applyFill="1" applyBorder="1"/>
    <xf numFmtId="0" fontId="81" fillId="0" borderId="7" xfId="0" applyFont="1" applyBorder="1" applyAlignment="1">
      <alignment horizontal="center"/>
    </xf>
    <xf numFmtId="0" fontId="81" fillId="4" borderId="3" xfId="0" applyFont="1" applyFill="1" applyBorder="1" applyAlignment="1">
      <alignment horizontal="center" vertical="center"/>
    </xf>
    <xf numFmtId="0" fontId="82" fillId="4" borderId="1" xfId="0" applyFont="1" applyFill="1" applyBorder="1" applyAlignment="1">
      <alignment horizontal="left" vertical="center" wrapText="1"/>
    </xf>
    <xf numFmtId="175" fontId="82" fillId="4" borderId="9" xfId="27" applyNumberFormat="1" applyFont="1" applyFill="1" applyBorder="1" applyAlignment="1">
      <alignment horizontal="right" vertical="center"/>
    </xf>
    <xf numFmtId="175" fontId="82" fillId="4" borderId="58" xfId="27" applyNumberFormat="1" applyFont="1" applyFill="1" applyBorder="1" applyAlignment="1">
      <alignment vertical="center"/>
    </xf>
    <xf numFmtId="175" fontId="81" fillId="4" borderId="76" xfId="27" applyNumberFormat="1" applyFont="1" applyFill="1" applyBorder="1" applyAlignment="1">
      <alignment vertical="center"/>
    </xf>
    <xf numFmtId="175" fontId="81" fillId="4" borderId="6" xfId="27" applyNumberFormat="1" applyFont="1" applyFill="1" applyBorder="1" applyAlignment="1">
      <alignment vertical="center"/>
    </xf>
    <xf numFmtId="175" fontId="34" fillId="4" borderId="2" xfId="27" applyNumberFormat="1" applyFont="1" applyFill="1" applyBorder="1" applyAlignment="1">
      <alignment horizontal="right" vertical="center"/>
    </xf>
    <xf numFmtId="175" fontId="34" fillId="4" borderId="3" xfId="27" applyNumberFormat="1" applyFont="1" applyFill="1" applyBorder="1" applyAlignment="1">
      <alignment horizontal="right" vertical="center"/>
    </xf>
    <xf numFmtId="175" fontId="34" fillId="4" borderId="11" xfId="27" applyNumberFormat="1" applyFont="1" applyFill="1" applyBorder="1" applyAlignment="1">
      <alignment horizontal="right" vertical="center"/>
    </xf>
    <xf numFmtId="0" fontId="82" fillId="4" borderId="10" xfId="0" applyFont="1" applyFill="1" applyBorder="1"/>
    <xf numFmtId="175" fontId="92" fillId="4" borderId="30" xfId="27" applyNumberFormat="1" applyFont="1" applyFill="1" applyBorder="1" applyAlignment="1">
      <alignment vertical="center"/>
    </xf>
    <xf numFmtId="49" fontId="81" fillId="0" borderId="3" xfId="0" applyNumberFormat="1" applyFont="1" applyBorder="1" applyAlignment="1">
      <alignment horizontal="center" vertical="center"/>
    </xf>
    <xf numFmtId="0" fontId="82" fillId="0" borderId="1" xfId="0" applyFont="1" applyFill="1" applyBorder="1" applyAlignment="1">
      <alignment horizontal="left" vertical="center" wrapText="1"/>
    </xf>
    <xf numFmtId="0" fontId="81" fillId="0" borderId="3" xfId="0" applyFont="1" applyBorder="1" applyAlignment="1">
      <alignment horizontal="center"/>
    </xf>
    <xf numFmtId="175" fontId="82" fillId="0" borderId="9" xfId="27" applyNumberFormat="1" applyFont="1" applyFill="1" applyBorder="1" applyAlignment="1">
      <alignment horizontal="right" vertical="center"/>
    </xf>
    <xf numFmtId="175" fontId="82" fillId="2" borderId="10" xfId="27" applyNumberFormat="1" applyFont="1" applyFill="1" applyBorder="1" applyAlignment="1">
      <alignment vertical="center"/>
    </xf>
    <xf numFmtId="175" fontId="81" fillId="2" borderId="33" xfId="27" applyNumberFormat="1" applyFont="1" applyFill="1" applyBorder="1" applyAlignment="1">
      <alignment vertical="center"/>
    </xf>
    <xf numFmtId="175" fontId="81" fillId="2" borderId="6" xfId="27" applyNumberFormat="1" applyFont="1" applyFill="1" applyBorder="1" applyAlignment="1">
      <alignment vertical="center"/>
    </xf>
    <xf numFmtId="175" fontId="34" fillId="0" borderId="39" xfId="27" applyNumberFormat="1" applyFont="1" applyFill="1" applyBorder="1" applyAlignment="1">
      <alignment horizontal="right" vertical="center"/>
    </xf>
    <xf numFmtId="175" fontId="34" fillId="0" borderId="44" xfId="27" applyNumberFormat="1" applyFont="1" applyFill="1" applyBorder="1" applyAlignment="1">
      <alignment horizontal="right" vertical="center"/>
    </xf>
    <xf numFmtId="175" fontId="34" fillId="0" borderId="49" xfId="27" applyNumberFormat="1" applyFont="1" applyFill="1" applyBorder="1" applyAlignment="1">
      <alignment horizontal="right" vertical="center"/>
    </xf>
    <xf numFmtId="0" fontId="82" fillId="2" borderId="40" xfId="0" applyFont="1" applyFill="1" applyBorder="1"/>
    <xf numFmtId="0" fontId="81" fillId="2" borderId="33" xfId="0" applyFont="1" applyFill="1" applyBorder="1"/>
    <xf numFmtId="0" fontId="81" fillId="2" borderId="6" xfId="0" applyFont="1" applyFill="1" applyBorder="1"/>
    <xf numFmtId="0" fontId="82" fillId="2" borderId="10" xfId="0" applyFont="1" applyFill="1" applyBorder="1"/>
    <xf numFmtId="0" fontId="82" fillId="2" borderId="33" xfId="0" applyFont="1" applyFill="1" applyBorder="1"/>
    <xf numFmtId="0" fontId="82" fillId="2" borderId="11" xfId="0" applyFont="1" applyFill="1" applyBorder="1"/>
    <xf numFmtId="0" fontId="82" fillId="2" borderId="5" xfId="0" applyFont="1" applyFill="1" applyBorder="1"/>
    <xf numFmtId="0" fontId="82" fillId="2" borderId="6" xfId="0" applyFont="1" applyFill="1" applyBorder="1"/>
    <xf numFmtId="175" fontId="92" fillId="0" borderId="30" xfId="27" applyNumberFormat="1" applyFont="1" applyBorder="1" applyAlignment="1">
      <alignment vertical="center"/>
    </xf>
    <xf numFmtId="0" fontId="81" fillId="0" borderId="3" xfId="0" applyFont="1" applyBorder="1" applyAlignment="1">
      <alignment horizontal="center" vertical="center"/>
    </xf>
    <xf numFmtId="175" fontId="34" fillId="0" borderId="2" xfId="27" applyNumberFormat="1" applyFont="1" applyFill="1" applyBorder="1" applyAlignment="1">
      <alignment horizontal="right" vertical="center"/>
    </xf>
    <xf numFmtId="175" fontId="34" fillId="0" borderId="3" xfId="27" applyNumberFormat="1" applyFont="1" applyFill="1" applyBorder="1" applyAlignment="1">
      <alignment horizontal="right" vertical="center"/>
    </xf>
    <xf numFmtId="175" fontId="34" fillId="0" borderId="11" xfId="27" applyNumberFormat="1" applyFont="1" applyFill="1" applyBorder="1" applyAlignment="1">
      <alignment horizontal="right" vertical="center"/>
    </xf>
    <xf numFmtId="49" fontId="81" fillId="6" borderId="44" xfId="0" applyNumberFormat="1" applyFont="1" applyFill="1" applyBorder="1" applyAlignment="1">
      <alignment horizontal="center" vertical="center"/>
    </xf>
    <xf numFmtId="0" fontId="82" fillId="6" borderId="4" xfId="0" applyFont="1" applyFill="1" applyBorder="1" applyAlignment="1">
      <alignment horizontal="left" vertical="center" wrapText="1"/>
    </xf>
    <xf numFmtId="0" fontId="81" fillId="6" borderId="44" xfId="0" applyFont="1" applyFill="1" applyBorder="1" applyAlignment="1">
      <alignment horizontal="center" vertical="center"/>
    </xf>
    <xf numFmtId="175" fontId="82" fillId="6" borderId="42" xfId="27" applyNumberFormat="1" applyFont="1" applyFill="1" applyBorder="1" applyAlignment="1">
      <alignment horizontal="right" vertical="center"/>
    </xf>
    <xf numFmtId="175" fontId="82" fillId="6" borderId="40" xfId="27" applyNumberFormat="1" applyFont="1" applyFill="1" applyBorder="1" applyAlignment="1">
      <alignment vertical="center"/>
    </xf>
    <xf numFmtId="175" fontId="81" fillId="6" borderId="50" xfId="27" applyNumberFormat="1" applyFont="1" applyFill="1" applyBorder="1" applyAlignment="1">
      <alignment vertical="center"/>
    </xf>
    <xf numFmtId="175" fontId="81" fillId="6" borderId="41" xfId="27" applyNumberFormat="1" applyFont="1" applyFill="1" applyBorder="1" applyAlignment="1">
      <alignment vertical="center"/>
    </xf>
    <xf numFmtId="175" fontId="34" fillId="6" borderId="49" xfId="27" applyNumberFormat="1" applyFont="1" applyFill="1" applyBorder="1" applyAlignment="1">
      <alignment horizontal="right" vertical="center"/>
    </xf>
    <xf numFmtId="175" fontId="34" fillId="6" borderId="44" xfId="27" applyNumberFormat="1" applyFont="1" applyFill="1" applyBorder="1" applyAlignment="1">
      <alignment horizontal="right" vertical="center"/>
    </xf>
    <xf numFmtId="0" fontId="82" fillId="6" borderId="40" xfId="0" applyFont="1" applyFill="1" applyBorder="1"/>
    <xf numFmtId="0" fontId="81" fillId="6" borderId="33" xfId="0" applyFont="1" applyFill="1" applyBorder="1"/>
    <xf numFmtId="0" fontId="81" fillId="6" borderId="6" xfId="0" applyFont="1" applyFill="1" applyBorder="1"/>
    <xf numFmtId="0" fontId="82" fillId="6" borderId="10" xfId="0" applyFont="1" applyFill="1" applyBorder="1"/>
    <xf numFmtId="0" fontId="82" fillId="6" borderId="33" xfId="0" applyFont="1" applyFill="1" applyBorder="1"/>
    <xf numFmtId="0" fontId="82" fillId="6" borderId="11" xfId="0" applyFont="1" applyFill="1" applyBorder="1"/>
    <xf numFmtId="0" fontId="82" fillId="6" borderId="5" xfId="0" applyFont="1" applyFill="1" applyBorder="1"/>
    <xf numFmtId="0" fontId="82" fillId="6" borderId="6" xfId="0" applyFont="1" applyFill="1" applyBorder="1"/>
    <xf numFmtId="175" fontId="92" fillId="6" borderId="30" xfId="27" applyNumberFormat="1" applyFont="1" applyFill="1" applyBorder="1" applyAlignment="1">
      <alignment vertical="center"/>
    </xf>
    <xf numFmtId="0" fontId="81" fillId="4" borderId="44" xfId="0" applyFont="1" applyFill="1" applyBorder="1" applyAlignment="1">
      <alignment horizontal="center" vertical="center"/>
    </xf>
    <xf numFmtId="0" fontId="82" fillId="4" borderId="4" xfId="0" applyFont="1" applyFill="1" applyBorder="1" applyAlignment="1">
      <alignment horizontal="left" vertical="center" wrapText="1"/>
    </xf>
    <xf numFmtId="175" fontId="82" fillId="4" borderId="42" xfId="27" applyNumberFormat="1" applyFont="1" applyFill="1" applyBorder="1" applyAlignment="1">
      <alignment horizontal="right" vertical="center"/>
    </xf>
    <xf numFmtId="175" fontId="82" fillId="4" borderId="40" xfId="27" applyNumberFormat="1" applyFont="1" applyFill="1" applyBorder="1" applyAlignment="1">
      <alignment vertical="center"/>
    </xf>
    <xf numFmtId="175" fontId="81" fillId="4" borderId="50" xfId="27" applyNumberFormat="1" applyFont="1" applyFill="1" applyBorder="1" applyAlignment="1">
      <alignment vertical="center"/>
    </xf>
    <xf numFmtId="0" fontId="82" fillId="4" borderId="40" xfId="0" applyFont="1" applyFill="1" applyBorder="1"/>
    <xf numFmtId="0" fontId="81" fillId="4" borderId="50" xfId="0" applyFont="1" applyFill="1" applyBorder="1"/>
    <xf numFmtId="0" fontId="81" fillId="4" borderId="41" xfId="0" applyFont="1" applyFill="1" applyBorder="1"/>
    <xf numFmtId="0" fontId="82" fillId="4" borderId="50" xfId="0" applyFont="1" applyFill="1" applyBorder="1"/>
    <xf numFmtId="0" fontId="82" fillId="4" borderId="49" xfId="0" applyFont="1" applyFill="1" applyBorder="1"/>
    <xf numFmtId="0" fontId="82" fillId="4" borderId="55" xfId="0" applyFont="1" applyFill="1" applyBorder="1"/>
    <xf numFmtId="0" fontId="82" fillId="4" borderId="41" xfId="0" applyFont="1" applyFill="1" applyBorder="1"/>
    <xf numFmtId="0" fontId="92" fillId="0" borderId="0" xfId="0" applyFont="1"/>
    <xf numFmtId="175" fontId="92" fillId="0" borderId="0" xfId="27" applyNumberFormat="1" applyFont="1"/>
    <xf numFmtId="0" fontId="81" fillId="0" borderId="29" xfId="0" applyFont="1" applyBorder="1"/>
    <xf numFmtId="167" fontId="82" fillId="0" borderId="29" xfId="0" applyNumberFormat="1" applyFont="1" applyFill="1" applyBorder="1" applyAlignment="1">
      <alignment horizontal="right"/>
    </xf>
    <xf numFmtId="167" fontId="82" fillId="0" borderId="29" xfId="0" applyNumberFormat="1" applyFont="1" applyFill="1" applyBorder="1" applyAlignment="1">
      <alignment horizontal="center"/>
    </xf>
    <xf numFmtId="167" fontId="81" fillId="0" borderId="29" xfId="0" applyNumberFormat="1" applyFont="1" applyBorder="1"/>
    <xf numFmtId="167" fontId="81" fillId="0" borderId="29" xfId="0" applyNumberFormat="1" applyFont="1" applyBorder="1" applyAlignment="1">
      <alignment horizontal="center"/>
    </xf>
    <xf numFmtId="167" fontId="5" fillId="0" borderId="25" xfId="0" applyNumberFormat="1" applyFont="1" applyFill="1" applyBorder="1"/>
    <xf numFmtId="167" fontId="5" fillId="0" borderId="29" xfId="0" applyNumberFormat="1" applyFont="1" applyFill="1" applyBorder="1"/>
    <xf numFmtId="181" fontId="34" fillId="0" borderId="22" xfId="31" applyNumberFormat="1" applyFont="1" applyFill="1" applyBorder="1" applyAlignment="1">
      <alignment horizontal="right"/>
      <protection/>
    </xf>
    <xf numFmtId="0" fontId="82" fillId="0" borderId="22" xfId="0" applyFont="1" applyFill="1" applyBorder="1" applyAlignment="1">
      <alignment horizontal="center"/>
    </xf>
    <xf numFmtId="0" fontId="82" fillId="0" borderId="29" xfId="0" applyFont="1" applyFill="1" applyBorder="1" applyAlignment="1">
      <alignment horizontal="center"/>
    </xf>
    <xf numFmtId="0" fontId="82" fillId="0" borderId="22" xfId="0" applyFont="1" applyFill="1" applyBorder="1" applyAlignment="1">
      <alignment horizontal="center"/>
    </xf>
    <xf numFmtId="0" fontId="81" fillId="0" borderId="22" xfId="0" applyFont="1" applyBorder="1"/>
    <xf numFmtId="0" fontId="81" fillId="0" borderId="51" xfId="0" applyFont="1" applyBorder="1"/>
    <xf numFmtId="167" fontId="82" fillId="0" borderId="7" xfId="0" applyNumberFormat="1" applyFont="1" applyFill="1" applyBorder="1" applyAlignment="1">
      <alignment horizontal="right"/>
    </xf>
    <xf numFmtId="167" fontId="82" fillId="0" borderId="56" xfId="0" applyNumberFormat="1" applyFont="1" applyFill="1" applyBorder="1" applyAlignment="1">
      <alignment horizontal="center"/>
    </xf>
    <xf numFmtId="167" fontId="81" fillId="0" borderId="51" xfId="0" applyNumberFormat="1" applyFont="1" applyBorder="1"/>
    <xf numFmtId="167" fontId="81" fillId="0" borderId="51" xfId="0" applyNumberFormat="1" applyFont="1" applyBorder="1" applyAlignment="1">
      <alignment horizontal="center"/>
    </xf>
    <xf numFmtId="167" fontId="5" fillId="0" borderId="26" xfId="0" applyNumberFormat="1" applyFont="1" applyFill="1" applyBorder="1"/>
    <xf numFmtId="167" fontId="5" fillId="0" borderId="52" xfId="0" applyNumberFormat="1" applyFont="1" applyFill="1" applyBorder="1"/>
    <xf numFmtId="181" fontId="34" fillId="0" borderId="53" xfId="31" applyNumberFormat="1" applyFont="1" applyFill="1" applyBorder="1" applyAlignment="1">
      <alignment horizontal="right"/>
      <protection/>
    </xf>
    <xf numFmtId="0" fontId="82" fillId="0" borderId="53" xfId="0" applyFont="1" applyFill="1" applyBorder="1" applyAlignment="1">
      <alignment horizontal="center"/>
    </xf>
    <xf numFmtId="0" fontId="81" fillId="0" borderId="51" xfId="0" applyFont="1" applyBorder="1" applyAlignment="1">
      <alignment horizontal="center"/>
    </xf>
    <xf numFmtId="0" fontId="82" fillId="0" borderId="56" xfId="0" applyFont="1" applyFill="1" applyBorder="1" applyAlignment="1">
      <alignment horizontal="center"/>
    </xf>
    <xf numFmtId="0" fontId="82" fillId="0" borderId="53" xfId="0" applyFont="1" applyFill="1" applyBorder="1" applyAlignment="1">
      <alignment horizontal="center"/>
    </xf>
    <xf numFmtId="0" fontId="81" fillId="0" borderId="48" xfId="0" applyFont="1" applyBorder="1"/>
    <xf numFmtId="0" fontId="82" fillId="0" borderId="48" xfId="0" applyFont="1" applyFill="1" applyBorder="1" applyAlignment="1">
      <alignment horizontal="center"/>
    </xf>
    <xf numFmtId="167" fontId="81" fillId="0" borderId="64" xfId="0" applyNumberFormat="1" applyFont="1" applyBorder="1"/>
    <xf numFmtId="167" fontId="9" fillId="0" borderId="25" xfId="0" applyNumberFormat="1" applyFont="1" applyFill="1" applyBorder="1"/>
    <xf numFmtId="167" fontId="9" fillId="0" borderId="29" xfId="0" applyNumberFormat="1" applyFont="1" applyFill="1" applyBorder="1"/>
    <xf numFmtId="181" fontId="34" fillId="0" borderId="22" xfId="31" applyNumberFormat="1" applyFont="1" applyFill="1" applyBorder="1" applyAlignment="1">
      <alignment horizontal="right" vertical="center"/>
      <protection/>
    </xf>
    <xf numFmtId="0" fontId="81" fillId="0" borderId="64" xfId="0" applyFont="1" applyBorder="1"/>
    <xf numFmtId="0" fontId="82" fillId="0" borderId="15" xfId="0" applyFont="1" applyFill="1" applyBorder="1" applyAlignment="1">
      <alignment horizontal="center"/>
    </xf>
    <xf numFmtId="0" fontId="82" fillId="0" borderId="64" xfId="0" applyFont="1" applyFill="1" applyBorder="1" applyAlignment="1">
      <alignment horizontal="center"/>
    </xf>
    <xf numFmtId="0" fontId="81" fillId="0" borderId="52" xfId="0" applyFont="1" applyBorder="1"/>
    <xf numFmtId="167" fontId="82" fillId="0" borderId="52" xfId="0" applyNumberFormat="1" applyFont="1" applyFill="1" applyBorder="1" applyAlignment="1">
      <alignment horizontal="center"/>
    </xf>
    <xf numFmtId="167" fontId="81" fillId="0" borderId="71" xfId="0" applyNumberFormat="1" applyFont="1" applyBorder="1"/>
    <xf numFmtId="167" fontId="81" fillId="0" borderId="52" xfId="0" applyNumberFormat="1" applyFont="1" applyBorder="1" applyAlignment="1">
      <alignment horizontal="center"/>
    </xf>
    <xf numFmtId="167" fontId="9" fillId="0" borderId="26" xfId="0" applyNumberFormat="1" applyFont="1" applyFill="1" applyBorder="1"/>
    <xf numFmtId="167" fontId="9" fillId="0" borderId="52" xfId="0" applyNumberFormat="1" applyFont="1" applyFill="1" applyBorder="1"/>
    <xf numFmtId="181" fontId="34" fillId="0" borderId="53" xfId="31" applyNumberFormat="1" applyFont="1" applyFill="1" applyBorder="1" applyAlignment="1">
      <alignment horizontal="right" vertical="center"/>
      <protection/>
    </xf>
    <xf numFmtId="0" fontId="81" fillId="0" borderId="71" xfId="0" applyFont="1" applyBorder="1"/>
    <xf numFmtId="0" fontId="82" fillId="0" borderId="52" xfId="0" applyFont="1" applyFill="1" applyBorder="1" applyAlignment="1">
      <alignment horizontal="center"/>
    </xf>
    <xf numFmtId="0" fontId="82" fillId="0" borderId="71" xfId="0" applyFont="1" applyFill="1" applyBorder="1" applyAlignment="1">
      <alignment horizontal="center"/>
    </xf>
    <xf numFmtId="0" fontId="81" fillId="0" borderId="44" xfId="0" applyFont="1" applyBorder="1"/>
    <xf numFmtId="167" fontId="82" fillId="0" borderId="7" xfId="0" applyNumberFormat="1" applyFont="1" applyFill="1" applyBorder="1" applyAlignment="1">
      <alignment horizontal="center"/>
    </xf>
    <xf numFmtId="167" fontId="81" fillId="0" borderId="7" xfId="0" applyNumberFormat="1" applyFont="1" applyBorder="1"/>
    <xf numFmtId="167" fontId="81" fillId="0" borderId="7" xfId="0" applyNumberFormat="1" applyFont="1" applyBorder="1" applyAlignment="1">
      <alignment horizontal="center"/>
    </xf>
    <xf numFmtId="0" fontId="81" fillId="0" borderId="7" xfId="0" applyFont="1" applyBorder="1"/>
    <xf numFmtId="0" fontId="82" fillId="0" borderId="7" xfId="0" applyFont="1" applyFill="1" applyBorder="1" applyAlignment="1">
      <alignment horizontal="center"/>
    </xf>
    <xf numFmtId="0" fontId="81" fillId="0" borderId="15" xfId="0" applyFont="1" applyBorder="1"/>
    <xf numFmtId="167" fontId="81" fillId="0" borderId="44" xfId="0" applyNumberFormat="1" applyFont="1" applyBorder="1"/>
    <xf numFmtId="167" fontId="81" fillId="0" borderId="44" xfId="0" applyNumberFormat="1" applyFont="1" applyBorder="1" applyAlignment="1">
      <alignment horizontal="center"/>
    </xf>
    <xf numFmtId="0" fontId="81" fillId="0" borderId="44" xfId="0" applyFont="1" applyBorder="1" applyAlignment="1">
      <alignment horizontal="center"/>
    </xf>
    <xf numFmtId="0" fontId="82" fillId="0" borderId="42" xfId="0" applyFont="1" applyFill="1" applyBorder="1" applyAlignment="1">
      <alignment horizontal="center"/>
    </xf>
    <xf numFmtId="0" fontId="81" fillId="0" borderId="42" xfId="0" applyFont="1" applyBorder="1"/>
    <xf numFmtId="167" fontId="82" fillId="0" borderId="64" xfId="0" applyNumberFormat="1" applyFont="1" applyFill="1" applyBorder="1" applyAlignment="1">
      <alignment horizontal="center"/>
    </xf>
    <xf numFmtId="167" fontId="82" fillId="0" borderId="71" xfId="0" applyNumberFormat="1" applyFont="1" applyFill="1" applyBorder="1" applyAlignment="1">
      <alignment horizontal="center"/>
    </xf>
    <xf numFmtId="167" fontId="81" fillId="0" borderId="52" xfId="0" applyNumberFormat="1" applyFont="1" applyBorder="1"/>
    <xf numFmtId="0" fontId="81" fillId="0" borderId="53" xfId="0" applyFont="1" applyBorder="1"/>
    <xf numFmtId="0" fontId="81" fillId="0" borderId="29" xfId="0" applyFont="1" applyBorder="1"/>
    <xf numFmtId="0" fontId="81" fillId="0" borderId="44" xfId="0" applyFont="1" applyBorder="1"/>
    <xf numFmtId="49" fontId="81" fillId="0" borderId="29" xfId="0" applyNumberFormat="1" applyFont="1" applyBorder="1" applyAlignment="1">
      <alignment horizontal="center" vertical="center"/>
    </xf>
    <xf numFmtId="0" fontId="87" fillId="0" borderId="29" xfId="0" applyFont="1" applyFill="1" applyBorder="1" applyAlignment="1">
      <alignment horizontal="left" vertical="center" wrapText="1"/>
    </xf>
    <xf numFmtId="0" fontId="81" fillId="0" borderId="25" xfId="0" applyFont="1" applyBorder="1"/>
    <xf numFmtId="167" fontId="81" fillId="0" borderId="25" xfId="0" applyNumberFormat="1" applyFont="1" applyFill="1" applyBorder="1" applyAlignment="1">
      <alignment horizontal="center"/>
    </xf>
    <xf numFmtId="167" fontId="81" fillId="0" borderId="29" xfId="0" applyNumberFormat="1" applyFont="1" applyFill="1" applyBorder="1" applyAlignment="1">
      <alignment horizontal="center"/>
    </xf>
    <xf numFmtId="0" fontId="81" fillId="0" borderId="25" xfId="0" applyFont="1" applyFill="1" applyBorder="1" applyAlignment="1">
      <alignment horizontal="center"/>
    </xf>
    <xf numFmtId="0" fontId="81" fillId="0" borderId="22" xfId="0" applyFont="1" applyFill="1" applyBorder="1" applyAlignment="1">
      <alignment horizontal="center"/>
    </xf>
    <xf numFmtId="0" fontId="82" fillId="0" borderId="25" xfId="0" applyFont="1" applyFill="1" applyBorder="1" applyAlignment="1">
      <alignment horizontal="center"/>
    </xf>
    <xf numFmtId="49" fontId="81" fillId="0" borderId="12" xfId="0" applyNumberFormat="1" applyFont="1" applyBorder="1" applyAlignment="1">
      <alignment horizontal="center" vertical="center"/>
    </xf>
    <xf numFmtId="0" fontId="81" fillId="0" borderId="19" xfId="0" applyFont="1" applyFill="1" applyBorder="1" applyAlignment="1">
      <alignment horizontal="left" vertical="center" wrapText="1"/>
    </xf>
    <xf numFmtId="167" fontId="81" fillId="0" borderId="16" xfId="0" applyNumberFormat="1" applyFont="1" applyFill="1" applyBorder="1" applyAlignment="1">
      <alignment horizontal="center"/>
    </xf>
    <xf numFmtId="167" fontId="81" fillId="0" borderId="7" xfId="0" applyNumberFormat="1" applyFont="1" applyFill="1" applyBorder="1" applyAlignment="1">
      <alignment horizontal="center"/>
    </xf>
    <xf numFmtId="167" fontId="9" fillId="0" borderId="39" xfId="0" applyNumberFormat="1" applyFont="1" applyFill="1" applyBorder="1"/>
    <xf numFmtId="167" fontId="9" fillId="0" borderId="44" xfId="0" applyNumberFormat="1" applyFont="1" applyFill="1" applyBorder="1"/>
    <xf numFmtId="0" fontId="82" fillId="0" borderId="42" xfId="0" applyFont="1" applyFill="1" applyBorder="1" applyAlignment="1">
      <alignment horizontal="center"/>
    </xf>
    <xf numFmtId="0" fontId="81" fillId="0" borderId="16" xfId="0" applyFont="1" applyFill="1" applyBorder="1" applyAlignment="1">
      <alignment horizontal="center"/>
    </xf>
    <xf numFmtId="0" fontId="82" fillId="0" borderId="16" xfId="0" applyFont="1" applyFill="1" applyBorder="1" applyAlignment="1">
      <alignment horizontal="center"/>
    </xf>
    <xf numFmtId="49" fontId="81" fillId="0" borderId="43" xfId="0" applyNumberFormat="1" applyFont="1" applyBorder="1" applyAlignment="1">
      <alignment horizontal="center" vertical="center"/>
    </xf>
    <xf numFmtId="0" fontId="82" fillId="0" borderId="46" xfId="0" applyFont="1" applyFill="1" applyBorder="1" applyAlignment="1">
      <alignment horizontal="left" vertical="center" wrapText="1"/>
    </xf>
    <xf numFmtId="0" fontId="81" fillId="0" borderId="43" xfId="0" applyFont="1" applyBorder="1"/>
    <xf numFmtId="167" fontId="82" fillId="0" borderId="43" xfId="0" applyNumberFormat="1" applyFont="1" applyBorder="1" applyAlignment="1">
      <alignment horizontal="center"/>
    </xf>
    <xf numFmtId="167" fontId="81" fillId="0" borderId="46" xfId="0" applyNumberFormat="1" applyFont="1" applyBorder="1" applyAlignment="1">
      <alignment horizontal="center"/>
    </xf>
    <xf numFmtId="167" fontId="81" fillId="0" borderId="43" xfId="0" applyNumberFormat="1" applyFont="1" applyBorder="1" applyAlignment="1">
      <alignment horizontal="center"/>
    </xf>
    <xf numFmtId="167" fontId="5" fillId="0" borderId="2" xfId="0" applyNumberFormat="1" applyFont="1" applyFill="1" applyBorder="1"/>
    <xf numFmtId="167" fontId="9" fillId="0" borderId="3" xfId="0" applyNumberFormat="1" applyFont="1" applyFill="1" applyBorder="1"/>
    <xf numFmtId="181" fontId="34" fillId="2" borderId="9" xfId="31" applyNumberFormat="1" applyFont="1" applyFill="1" applyBorder="1" applyAlignment="1">
      <alignment horizontal="right" vertical="center"/>
      <protection/>
    </xf>
    <xf numFmtId="0" fontId="82" fillId="0" borderId="9" xfId="0" applyFont="1" applyBorder="1" applyAlignment="1">
      <alignment horizontal="center"/>
    </xf>
    <xf numFmtId="0" fontId="81" fillId="0" borderId="46" xfId="0" applyFont="1" applyBorder="1" applyAlignment="1">
      <alignment horizontal="center"/>
    </xf>
    <xf numFmtId="0" fontId="81" fillId="0" borderId="43" xfId="0" applyFont="1" applyBorder="1" applyAlignment="1">
      <alignment horizontal="center"/>
    </xf>
    <xf numFmtId="0" fontId="82" fillId="0" borderId="43" xfId="0" applyFont="1" applyBorder="1" applyAlignment="1">
      <alignment horizontal="center"/>
    </xf>
    <xf numFmtId="0" fontId="82" fillId="0" borderId="47" xfId="0" applyFont="1" applyBorder="1" applyAlignment="1">
      <alignment horizontal="center"/>
    </xf>
    <xf numFmtId="0" fontId="82" fillId="0" borderId="46" xfId="0" applyFont="1" applyBorder="1" applyAlignment="1">
      <alignment horizontal="center"/>
    </xf>
    <xf numFmtId="0" fontId="81" fillId="0" borderId="3" xfId="0" applyFont="1" applyBorder="1"/>
    <xf numFmtId="167" fontId="82" fillId="0" borderId="3" xfId="0" applyNumberFormat="1" applyFont="1" applyBorder="1" applyAlignment="1">
      <alignment horizontal="center"/>
    </xf>
    <xf numFmtId="167" fontId="81" fillId="0" borderId="1" xfId="0" applyNumberFormat="1" applyFont="1" applyBorder="1" applyAlignment="1">
      <alignment horizontal="center"/>
    </xf>
    <xf numFmtId="167" fontId="81" fillId="0" borderId="3" xfId="0" applyNumberFormat="1" applyFont="1" applyBorder="1" applyAlignment="1">
      <alignment horizontal="center"/>
    </xf>
    <xf numFmtId="0" fontId="81" fillId="0" borderId="1" xfId="0" applyFont="1" applyBorder="1" applyAlignment="1">
      <alignment horizontal="center"/>
    </xf>
    <xf numFmtId="0" fontId="82" fillId="0" borderId="3" xfId="0" applyFont="1" applyBorder="1" applyAlignment="1">
      <alignment horizontal="center"/>
    </xf>
    <xf numFmtId="0" fontId="82" fillId="0" borderId="1" xfId="0" applyFont="1" applyBorder="1" applyAlignment="1">
      <alignment horizontal="center"/>
    </xf>
    <xf numFmtId="0" fontId="82" fillId="0" borderId="46" xfId="0" applyFont="1" applyBorder="1" applyAlignment="1">
      <alignment horizontal="left" vertical="center" wrapText="1"/>
    </xf>
    <xf numFmtId="167" fontId="82" fillId="0" borderId="29" xfId="0" applyNumberFormat="1" applyFont="1" applyFill="1" applyBorder="1" applyAlignment="1">
      <alignment horizontal="center" vertical="center"/>
    </xf>
    <xf numFmtId="167" fontId="82" fillId="0" borderId="43" xfId="0" applyNumberFormat="1" applyFont="1" applyBorder="1" applyAlignment="1">
      <alignment horizontal="center" vertical="center"/>
    </xf>
    <xf numFmtId="167" fontId="81" fillId="0" borderId="46" xfId="0" applyNumberFormat="1" applyFont="1" applyBorder="1" applyAlignment="1">
      <alignment horizontal="center" vertical="center"/>
    </xf>
    <xf numFmtId="167" fontId="81" fillId="0" borderId="43" xfId="0" applyNumberFormat="1" applyFont="1" applyBorder="1" applyAlignment="1">
      <alignment horizontal="center" vertical="center"/>
    </xf>
    <xf numFmtId="167" fontId="5" fillId="0" borderId="2" xfId="0" applyNumberFormat="1" applyFont="1" applyFill="1" applyBorder="1" applyAlignment="1">
      <alignment horizontal="center" vertical="center"/>
    </xf>
    <xf numFmtId="167" fontId="9" fillId="0" borderId="3" xfId="0" applyNumberFormat="1" applyFont="1" applyFill="1" applyBorder="1" applyAlignment="1">
      <alignment horizontal="center" vertical="center"/>
    </xf>
    <xf numFmtId="181" fontId="34" fillId="2" borderId="9" xfId="31" applyNumberFormat="1" applyFont="1" applyFill="1" applyBorder="1" applyAlignment="1">
      <alignment horizontal="center" vertical="center"/>
      <protection/>
    </xf>
    <xf numFmtId="167" fontId="82" fillId="0" borderId="3" xfId="0" applyNumberFormat="1" applyFont="1" applyBorder="1" applyAlignment="1">
      <alignment horizontal="center" vertical="center"/>
    </xf>
    <xf numFmtId="167" fontId="81" fillId="0" borderId="1" xfId="0" applyNumberFormat="1" applyFont="1" applyBorder="1" applyAlignment="1">
      <alignment horizontal="center" vertical="center"/>
    </xf>
    <xf numFmtId="167" fontId="81" fillId="0" borderId="3" xfId="0" applyNumberFormat="1" applyFont="1" applyBorder="1" applyAlignment="1">
      <alignment horizontal="center" vertical="center"/>
    </xf>
    <xf numFmtId="167" fontId="5" fillId="0" borderId="57" xfId="0" applyNumberFormat="1" applyFont="1" applyFill="1" applyBorder="1" applyAlignment="1">
      <alignment horizontal="center" vertical="center"/>
    </xf>
    <xf numFmtId="167" fontId="9" fillId="0" borderId="51" xfId="0" applyNumberFormat="1" applyFont="1" applyFill="1" applyBorder="1" applyAlignment="1">
      <alignment horizontal="center" vertical="center"/>
    </xf>
    <xf numFmtId="181" fontId="34" fillId="2" borderId="48" xfId="31" applyNumberFormat="1" applyFont="1" applyFill="1" applyBorder="1" applyAlignment="1">
      <alignment horizontal="center" vertical="center"/>
      <protection/>
    </xf>
    <xf numFmtId="0" fontId="82" fillId="0" borderId="48" xfId="0" applyFont="1" applyBorder="1" applyAlignment="1">
      <alignment horizontal="center"/>
    </xf>
    <xf numFmtId="1" fontId="81" fillId="0" borderId="29" xfId="0" applyNumberFormat="1" applyFont="1" applyBorder="1" applyAlignment="1">
      <alignment horizontal="center" vertical="center"/>
    </xf>
    <xf numFmtId="0" fontId="82" fillId="0" borderId="64" xfId="0" applyFont="1" applyBorder="1" applyAlignment="1">
      <alignment horizontal="left" vertical="center" wrapText="1"/>
    </xf>
    <xf numFmtId="167" fontId="82" fillId="0" borderId="29" xfId="0" applyNumberFormat="1" applyFont="1" applyFill="1" applyBorder="1" applyAlignment="1">
      <alignment horizontal="center" vertical="center"/>
    </xf>
    <xf numFmtId="167" fontId="82" fillId="0" borderId="29" xfId="0" applyNumberFormat="1" applyFont="1" applyBorder="1" applyAlignment="1">
      <alignment horizontal="center" vertical="center"/>
    </xf>
    <xf numFmtId="167" fontId="81" fillId="0" borderId="29" xfId="0" applyNumberFormat="1" applyFont="1" applyBorder="1" applyAlignment="1">
      <alignment horizontal="center" vertical="center"/>
    </xf>
    <xf numFmtId="167" fontId="5" fillId="0" borderId="25" xfId="0" applyNumberFormat="1" applyFont="1" applyFill="1" applyBorder="1" applyAlignment="1">
      <alignment horizontal="center" vertical="center"/>
    </xf>
    <xf numFmtId="167" fontId="9" fillId="0" borderId="29" xfId="0" applyNumberFormat="1" applyFont="1" applyFill="1" applyBorder="1" applyAlignment="1">
      <alignment horizontal="center" vertical="center"/>
    </xf>
    <xf numFmtId="181" fontId="34" fillId="2" borderId="22" xfId="31" applyNumberFormat="1" applyFont="1" applyFill="1" applyBorder="1" applyAlignment="1">
      <alignment horizontal="center" vertical="center"/>
      <protection/>
    </xf>
    <xf numFmtId="0" fontId="82" fillId="0" borderId="29" xfId="0" applyFont="1" applyBorder="1" applyAlignment="1">
      <alignment horizontal="center"/>
    </xf>
    <xf numFmtId="0" fontId="81" fillId="0" borderId="29" xfId="0" applyFont="1" applyBorder="1" applyAlignment="1">
      <alignment horizontal="center"/>
    </xf>
    <xf numFmtId="0" fontId="82" fillId="0" borderId="29" xfId="0" applyFont="1" applyFill="1" applyBorder="1" applyAlignment="1">
      <alignment horizontal="center"/>
    </xf>
    <xf numFmtId="49" fontId="81" fillId="6" borderId="12" xfId="0" applyNumberFormat="1" applyFont="1" applyFill="1" applyBorder="1" applyAlignment="1">
      <alignment horizontal="center" vertical="center"/>
    </xf>
    <xf numFmtId="0" fontId="90" fillId="6" borderId="18" xfId="0" applyFont="1" applyFill="1" applyBorder="1" applyAlignment="1">
      <alignment horizontal="left" vertical="center" wrapText="1"/>
    </xf>
    <xf numFmtId="0" fontId="81" fillId="6" borderId="12" xfId="0" applyFont="1" applyFill="1" applyBorder="1"/>
    <xf numFmtId="167" fontId="82" fillId="6" borderId="12" xfId="0" applyNumberFormat="1" applyFont="1" applyFill="1" applyBorder="1" applyAlignment="1">
      <alignment horizontal="right"/>
    </xf>
    <xf numFmtId="167" fontId="82" fillId="6" borderId="12" xfId="0" applyNumberFormat="1" applyFont="1" applyFill="1" applyBorder="1" applyAlignment="1">
      <alignment horizontal="center"/>
    </xf>
    <xf numFmtId="167" fontId="82" fillId="6" borderId="12" xfId="0" applyNumberFormat="1" applyFont="1" applyFill="1" applyBorder="1" applyAlignment="1">
      <alignment horizontal="center"/>
    </xf>
    <xf numFmtId="167" fontId="81" fillId="6" borderId="12" xfId="0" applyNumberFormat="1" applyFont="1" applyFill="1" applyBorder="1" applyAlignment="1">
      <alignment horizontal="center"/>
    </xf>
    <xf numFmtId="167" fontId="9" fillId="6" borderId="8" xfId="0" applyNumberFormat="1" applyFont="1" applyFill="1" applyBorder="1"/>
    <xf numFmtId="167" fontId="9" fillId="6" borderId="12" xfId="0" applyNumberFormat="1" applyFont="1" applyFill="1" applyBorder="1"/>
    <xf numFmtId="181" fontId="4" fillId="6" borderId="17" xfId="0" applyNumberFormat="1" applyFont="1" applyFill="1" applyBorder="1" applyAlignment="1">
      <alignment vertical="center"/>
    </xf>
    <xf numFmtId="0" fontId="82" fillId="6" borderId="17" xfId="0" applyFont="1" applyFill="1" applyBorder="1" applyAlignment="1">
      <alignment horizontal="center"/>
    </xf>
    <xf numFmtId="0" fontId="82" fillId="6" borderId="12" xfId="0" applyFont="1" applyFill="1" applyBorder="1" applyAlignment="1">
      <alignment horizontal="center"/>
    </xf>
    <xf numFmtId="0" fontId="82" fillId="6" borderId="12" xfId="0" applyFont="1" applyFill="1" applyBorder="1" applyAlignment="1">
      <alignment horizontal="center"/>
    </xf>
    <xf numFmtId="0" fontId="81" fillId="0" borderId="12" xfId="0" applyFont="1" applyBorder="1"/>
    <xf numFmtId="167" fontId="82" fillId="0" borderId="12" xfId="0" applyNumberFormat="1" applyFont="1" applyFill="1" applyBorder="1" applyAlignment="1">
      <alignment horizontal="right"/>
    </xf>
    <xf numFmtId="167" fontId="82" fillId="0" borderId="12" xfId="0" applyNumberFormat="1" applyFont="1" applyFill="1" applyBorder="1" applyAlignment="1">
      <alignment horizontal="center"/>
    </xf>
    <xf numFmtId="167" fontId="81" fillId="0" borderId="18" xfId="0" applyNumberFormat="1" applyFont="1" applyBorder="1" applyAlignment="1">
      <alignment horizontal="center"/>
    </xf>
    <xf numFmtId="167" fontId="81" fillId="0" borderId="12" xfId="0" applyNumberFormat="1" applyFont="1" applyBorder="1" applyAlignment="1">
      <alignment horizontal="center"/>
    </xf>
    <xf numFmtId="167" fontId="9" fillId="0" borderId="8" xfId="0" applyNumberFormat="1" applyFont="1" applyFill="1" applyBorder="1"/>
    <xf numFmtId="167" fontId="9" fillId="0" borderId="12" xfId="0" applyNumberFormat="1" applyFont="1" applyFill="1" applyBorder="1"/>
    <xf numFmtId="181" fontId="34" fillId="0" borderId="17" xfId="31" applyNumberFormat="1" applyFont="1" applyFill="1" applyBorder="1" applyAlignment="1">
      <alignment horizontal="right" vertical="center"/>
      <protection/>
    </xf>
    <xf numFmtId="0" fontId="82" fillId="0" borderId="17" xfId="0" applyFont="1" applyFill="1" applyBorder="1" applyAlignment="1">
      <alignment horizontal="center"/>
    </xf>
    <xf numFmtId="0" fontId="81" fillId="0" borderId="18" xfId="0" applyFont="1" applyBorder="1" applyAlignment="1">
      <alignment horizontal="center"/>
    </xf>
    <xf numFmtId="0" fontId="81" fillId="0" borderId="12" xfId="0" applyFont="1" applyBorder="1" applyAlignment="1">
      <alignment horizontal="center"/>
    </xf>
    <xf numFmtId="0" fontId="82" fillId="0" borderId="12" xfId="0" applyFont="1" applyFill="1" applyBorder="1" applyAlignment="1">
      <alignment horizontal="center"/>
    </xf>
    <xf numFmtId="0" fontId="82" fillId="0" borderId="17" xfId="0" applyFont="1" applyFill="1" applyBorder="1" applyAlignment="1">
      <alignment horizontal="center"/>
    </xf>
    <xf numFmtId="167" fontId="82" fillId="0" borderId="52" xfId="0" applyNumberFormat="1" applyFont="1" applyFill="1" applyBorder="1" applyAlignment="1">
      <alignment horizontal="right"/>
    </xf>
    <xf numFmtId="167" fontId="81" fillId="0" borderId="71" xfId="0" applyNumberFormat="1" applyFont="1" applyBorder="1" applyAlignment="1">
      <alignment horizontal="center"/>
    </xf>
    <xf numFmtId="0" fontId="81" fillId="0" borderId="71" xfId="0" applyFont="1" applyBorder="1" applyAlignment="1">
      <alignment horizontal="center"/>
    </xf>
    <xf numFmtId="167" fontId="81" fillId="0" borderId="16" xfId="0" applyNumberFormat="1" applyFont="1" applyBorder="1" applyAlignment="1">
      <alignment horizontal="center"/>
    </xf>
    <xf numFmtId="0" fontId="81" fillId="0" borderId="16" xfId="0" applyFont="1" applyBorder="1" applyAlignment="1">
      <alignment horizontal="center"/>
    </xf>
    <xf numFmtId="167" fontId="81" fillId="0" borderId="79" xfId="0" applyNumberFormat="1" applyFont="1" applyBorder="1" applyAlignment="1">
      <alignment horizontal="center"/>
    </xf>
    <xf numFmtId="167" fontId="81" fillId="0" borderId="56" xfId="0" applyNumberFormat="1" applyFont="1" applyBorder="1" applyAlignment="1">
      <alignment horizontal="center"/>
    </xf>
    <xf numFmtId="0" fontId="81" fillId="0" borderId="79" xfId="0" applyFont="1" applyBorder="1" applyAlignment="1">
      <alignment horizontal="center"/>
    </xf>
    <xf numFmtId="0" fontId="81" fillId="0" borderId="56" xfId="0" applyFont="1" applyBorder="1" applyAlignment="1">
      <alignment horizontal="center"/>
    </xf>
    <xf numFmtId="0" fontId="82" fillId="0" borderId="54" xfId="0" applyFont="1" applyFill="1" applyBorder="1" applyAlignment="1">
      <alignment horizontal="center"/>
    </xf>
    <xf numFmtId="0" fontId="81" fillId="0" borderId="61" xfId="0" applyFont="1" applyBorder="1" applyAlignment="1">
      <alignment horizontal="left" vertical="center" wrapText="1"/>
    </xf>
    <xf numFmtId="0" fontId="81" fillId="0" borderId="70" xfId="0" applyFont="1" applyBorder="1"/>
    <xf numFmtId="167" fontId="82" fillId="0" borderId="64" xfId="0" applyNumberFormat="1" applyFont="1" applyBorder="1"/>
    <xf numFmtId="167" fontId="5" fillId="0" borderId="19" xfId="0" applyNumberFormat="1" applyFont="1" applyFill="1" applyBorder="1"/>
    <xf numFmtId="167" fontId="5" fillId="0" borderId="7" xfId="0" applyNumberFormat="1" applyFont="1" applyFill="1" applyBorder="1"/>
    <xf numFmtId="167" fontId="5" fillId="2" borderId="48" xfId="0" applyNumberFormat="1" applyFont="1" applyFill="1" applyBorder="1"/>
    <xf numFmtId="0" fontId="82" fillId="0" borderId="16" xfId="0" applyFont="1" applyBorder="1"/>
    <xf numFmtId="0" fontId="82" fillId="0" borderId="29" xfId="0" applyFont="1" applyBorder="1"/>
    <xf numFmtId="0" fontId="82" fillId="0" borderId="64" xfId="0" applyFont="1" applyBorder="1"/>
    <xf numFmtId="49" fontId="81" fillId="0" borderId="52" xfId="0" applyNumberFormat="1" applyFont="1" applyBorder="1" applyAlignment="1">
      <alignment horizontal="center" vertical="center"/>
    </xf>
    <xf numFmtId="0" fontId="81" fillId="0" borderId="35" xfId="0" applyFont="1" applyBorder="1" applyAlignment="1">
      <alignment horizontal="left" vertical="center" wrapText="1"/>
    </xf>
    <xf numFmtId="0" fontId="81" fillId="0" borderId="55" xfId="0" applyFont="1" applyBorder="1"/>
    <xf numFmtId="167" fontId="82" fillId="0" borderId="71" xfId="0" applyNumberFormat="1" applyFont="1" applyBorder="1"/>
    <xf numFmtId="181" fontId="34" fillId="2" borderId="17" xfId="31" applyNumberFormat="1" applyFont="1" applyFill="1" applyBorder="1" applyAlignment="1">
      <alignment horizontal="right"/>
      <protection/>
    </xf>
    <xf numFmtId="0" fontId="82" fillId="0" borderId="71" xfId="0" applyFont="1" applyBorder="1"/>
    <xf numFmtId="0" fontId="82" fillId="0" borderId="52" xfId="0" applyFont="1" applyBorder="1"/>
    <xf numFmtId="49" fontId="81" fillId="6" borderId="7" xfId="0" applyNumberFormat="1" applyFont="1" applyFill="1" applyBorder="1" applyAlignment="1">
      <alignment horizontal="center" vertical="center"/>
    </xf>
    <xf numFmtId="0" fontId="82" fillId="6" borderId="7" xfId="0" applyFont="1" applyFill="1" applyBorder="1" applyAlignment="1">
      <alignment horizontal="left" vertical="center" wrapText="1"/>
    </xf>
    <xf numFmtId="0" fontId="81" fillId="6" borderId="7" xfId="0" applyFont="1" applyFill="1" applyBorder="1"/>
    <xf numFmtId="167" fontId="82" fillId="6" borderId="29" xfId="0" applyNumberFormat="1" applyFont="1" applyFill="1" applyBorder="1" applyAlignment="1">
      <alignment horizontal="right"/>
    </xf>
    <xf numFmtId="167" fontId="82" fillId="6" borderId="7" xfId="0" applyNumberFormat="1" applyFont="1" applyFill="1" applyBorder="1" applyAlignment="1">
      <alignment horizontal="center"/>
    </xf>
    <xf numFmtId="167" fontId="5" fillId="6" borderId="25" xfId="0" applyNumberFormat="1" applyFont="1" applyFill="1" applyBorder="1"/>
    <xf numFmtId="167" fontId="5" fillId="6" borderId="29" xfId="0" applyNumberFormat="1" applyFont="1" applyFill="1" applyBorder="1"/>
    <xf numFmtId="167" fontId="5" fillId="6" borderId="22" xfId="0" applyNumberFormat="1" applyFont="1" applyFill="1" applyBorder="1"/>
    <xf numFmtId="0" fontId="82" fillId="6" borderId="22" xfId="0" applyFont="1" applyFill="1" applyBorder="1" applyAlignment="1">
      <alignment horizontal="center"/>
    </xf>
    <xf numFmtId="0" fontId="82" fillId="6" borderId="7" xfId="0" applyFont="1" applyFill="1" applyBorder="1" applyAlignment="1">
      <alignment horizontal="center"/>
    </xf>
    <xf numFmtId="0" fontId="82" fillId="6" borderId="15" xfId="0" applyFont="1" applyFill="1" applyBorder="1" applyAlignment="1">
      <alignment horizontal="center"/>
    </xf>
    <xf numFmtId="0" fontId="82" fillId="6" borderId="12" xfId="0" applyFont="1" applyFill="1" applyBorder="1" applyAlignment="1">
      <alignment horizontal="left" vertical="center" wrapText="1"/>
    </xf>
    <xf numFmtId="167" fontId="5" fillId="6" borderId="8" xfId="0" applyNumberFormat="1" applyFont="1" applyFill="1" applyBorder="1"/>
    <xf numFmtId="167" fontId="5" fillId="6" borderId="12" xfId="0" applyNumberFormat="1" applyFont="1" applyFill="1" applyBorder="1"/>
    <xf numFmtId="167" fontId="5" fillId="6" borderId="17" xfId="0" applyNumberFormat="1" applyFont="1" applyFill="1" applyBorder="1"/>
    <xf numFmtId="0" fontId="82" fillId="6" borderId="17" xfId="0" applyNumberFormat="1" applyFont="1" applyFill="1" applyBorder="1" applyAlignment="1">
      <alignment horizontal="center"/>
    </xf>
    <xf numFmtId="0" fontId="82" fillId="6" borderId="12" xfId="0" applyNumberFormat="1" applyFont="1" applyFill="1" applyBorder="1" applyAlignment="1">
      <alignment horizontal="center"/>
    </xf>
    <xf numFmtId="0" fontId="82" fillId="6" borderId="17" xfId="0" applyFont="1" applyFill="1" applyBorder="1" applyAlignment="1">
      <alignment horizontal="center"/>
    </xf>
    <xf numFmtId="167" fontId="82" fillId="0" borderId="12" xfId="0" applyNumberFormat="1" applyFont="1" applyFill="1" applyBorder="1" applyAlignment="1">
      <alignment horizontal="center"/>
    </xf>
    <xf numFmtId="181" fontId="34" fillId="0" borderId="17" xfId="31" applyNumberFormat="1" applyFont="1" applyFill="1" applyBorder="1" applyAlignment="1">
      <alignment horizontal="right"/>
      <protection/>
    </xf>
    <xf numFmtId="0" fontId="82" fillId="0" borderId="15" xfId="0" applyFont="1" applyFill="1" applyBorder="1" applyAlignment="1">
      <alignment horizontal="center"/>
    </xf>
    <xf numFmtId="167" fontId="5" fillId="0" borderId="8" xfId="0" applyNumberFormat="1" applyFont="1" applyFill="1" applyBorder="1"/>
    <xf numFmtId="167" fontId="5" fillId="0" borderId="12" xfId="0" applyNumberFormat="1" applyFont="1" applyFill="1" applyBorder="1"/>
    <xf numFmtId="167" fontId="82" fillId="0" borderId="56" xfId="0" applyNumberFormat="1" applyFont="1" applyFill="1" applyBorder="1" applyAlignment="1">
      <alignment horizontal="center"/>
    </xf>
    <xf numFmtId="0" fontId="82" fillId="0" borderId="54" xfId="0" applyFont="1" applyFill="1" applyBorder="1" applyAlignment="1">
      <alignment horizontal="center"/>
    </xf>
    <xf numFmtId="2" fontId="81" fillId="0" borderId="12" xfId="0" applyNumberFormat="1" applyFont="1" applyBorder="1" applyAlignment="1">
      <alignment horizontal="center"/>
    </xf>
    <xf numFmtId="167" fontId="82" fillId="0" borderId="52" xfId="0" applyNumberFormat="1" applyFont="1" applyFill="1" applyBorder="1" applyAlignment="1">
      <alignment horizontal="center"/>
    </xf>
    <xf numFmtId="2" fontId="81" fillId="0" borderId="52" xfId="0" applyNumberFormat="1" applyFont="1" applyBorder="1" applyAlignment="1">
      <alignment horizontal="center"/>
    </xf>
    <xf numFmtId="0" fontId="82" fillId="0" borderId="0" xfId="0" applyFont="1"/>
    <xf numFmtId="165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left" wrapText="1"/>
    </xf>
    <xf numFmtId="0" fontId="81" fillId="0" borderId="52" xfId="0" applyFont="1" applyBorder="1" applyAlignment="1">
      <alignment horizontal="center" vertical="center"/>
    </xf>
    <xf numFmtId="0" fontId="82" fillId="0" borderId="64" xfId="0" applyFont="1" applyBorder="1" applyAlignment="1">
      <alignment horizontal="left" vertical="center" wrapText="1"/>
    </xf>
    <xf numFmtId="0" fontId="81" fillId="0" borderId="7" xfId="0" applyFont="1" applyBorder="1" applyAlignment="1">
      <alignment horizontal="center" vertical="center"/>
    </xf>
    <xf numFmtId="49" fontId="81" fillId="0" borderId="29" xfId="0" applyNumberFormat="1" applyFont="1" applyBorder="1" applyAlignment="1">
      <alignment horizontal="center" vertical="center"/>
    </xf>
    <xf numFmtId="49" fontId="81" fillId="0" borderId="52" xfId="0" applyNumberFormat="1" applyFont="1" applyBorder="1" applyAlignment="1">
      <alignment horizontal="center" vertical="center"/>
    </xf>
    <xf numFmtId="49" fontId="81" fillId="6" borderId="7" xfId="0" applyNumberFormat="1" applyFont="1" applyFill="1" applyBorder="1" applyAlignment="1">
      <alignment horizontal="center" vertical="center"/>
    </xf>
    <xf numFmtId="49" fontId="81" fillId="6" borderId="12" xfId="0" applyNumberFormat="1" applyFont="1" applyFill="1" applyBorder="1" applyAlignment="1">
      <alignment horizontal="center" vertical="center"/>
    </xf>
    <xf numFmtId="0" fontId="82" fillId="6" borderId="18" xfId="0" applyFont="1" applyFill="1" applyBorder="1" applyAlignment="1">
      <alignment horizontal="left" vertical="center" wrapText="1"/>
    </xf>
    <xf numFmtId="0" fontId="82" fillId="2" borderId="1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 horizontal="left"/>
    </xf>
    <xf numFmtId="0" fontId="0" fillId="0" borderId="0" xfId="0" applyAlignment="1">
      <alignment/>
    </xf>
    <xf numFmtId="165" fontId="9" fillId="0" borderId="0" xfId="0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175" fontId="34" fillId="0" borderId="15" xfId="27" applyNumberFormat="1" applyFont="1" applyFill="1" applyBorder="1" applyAlignment="1">
      <alignment horizontal="right"/>
    </xf>
    <xf numFmtId="175" fontId="34" fillId="0" borderId="54" xfId="27" applyNumberFormat="1" applyFont="1" applyFill="1" applyBorder="1" applyAlignment="1">
      <alignment horizontal="right"/>
    </xf>
    <xf numFmtId="175" fontId="34" fillId="0" borderId="47" xfId="27" applyNumberFormat="1" applyFont="1" applyFill="1" applyBorder="1" applyAlignment="1">
      <alignment horizontal="right"/>
    </xf>
    <xf numFmtId="175" fontId="34" fillId="0" borderId="42" xfId="27" applyNumberFormat="1" applyFont="1" applyFill="1" applyBorder="1" applyAlignment="1">
      <alignment horizontal="right"/>
    </xf>
    <xf numFmtId="175" fontId="34" fillId="0" borderId="22" xfId="27" applyNumberFormat="1" applyFont="1" applyFill="1" applyBorder="1" applyAlignment="1">
      <alignment horizontal="right" vertical="center"/>
    </xf>
    <xf numFmtId="175" fontId="34" fillId="4" borderId="9" xfId="27" applyNumberFormat="1" applyFont="1" applyFill="1" applyBorder="1" applyAlignment="1">
      <alignment horizontal="right"/>
    </xf>
    <xf numFmtId="175" fontId="5" fillId="6" borderId="15" xfId="27" applyNumberFormat="1" applyFont="1" applyFill="1" applyBorder="1" applyAlignment="1">
      <alignment horizontal="right"/>
    </xf>
    <xf numFmtId="175" fontId="5" fillId="6" borderId="17" xfId="27" applyNumberFormat="1" applyFont="1" applyFill="1" applyBorder="1" applyAlignment="1">
      <alignment horizontal="right"/>
    </xf>
    <xf numFmtId="175" fontId="5" fillId="0" borderId="17" xfId="27" applyNumberFormat="1" applyFont="1" applyFill="1" applyBorder="1" applyAlignment="1">
      <alignment horizontal="right"/>
    </xf>
    <xf numFmtId="175" fontId="34" fillId="4" borderId="42" xfId="27" applyNumberFormat="1" applyFont="1" applyFill="1" applyBorder="1" applyAlignment="1">
      <alignment horizontal="right"/>
    </xf>
    <xf numFmtId="175" fontId="34" fillId="4" borderId="9" xfId="27" applyNumberFormat="1" applyFont="1" applyFill="1" applyBorder="1" applyAlignment="1">
      <alignment horizontal="right" vertical="center"/>
    </xf>
    <xf numFmtId="175" fontId="34" fillId="0" borderId="42" xfId="27" applyNumberFormat="1" applyFont="1" applyFill="1" applyBorder="1" applyAlignment="1">
      <alignment horizontal="right" vertical="center"/>
    </xf>
    <xf numFmtId="175" fontId="34" fillId="0" borderId="9" xfId="27" applyNumberFormat="1" applyFont="1" applyFill="1" applyBorder="1" applyAlignment="1">
      <alignment horizontal="right" vertical="center"/>
    </xf>
    <xf numFmtId="175" fontId="34" fillId="6" borderId="42" xfId="27" applyNumberFormat="1" applyFont="1" applyFill="1" applyBorder="1" applyAlignment="1">
      <alignment horizontal="right" vertical="center"/>
    </xf>
    <xf numFmtId="0" fontId="82" fillId="0" borderId="2" xfId="0" applyFont="1" applyBorder="1" applyAlignment="1">
      <alignment horizontal="center" vertical="center" wrapText="1"/>
    </xf>
    <xf numFmtId="0" fontId="82" fillId="0" borderId="3" xfId="0" applyFont="1" applyBorder="1" applyAlignment="1">
      <alignment horizontal="center" vertical="center"/>
    </xf>
    <xf numFmtId="0" fontId="82" fillId="0" borderId="9" xfId="0" applyFont="1" applyBorder="1" applyAlignment="1">
      <alignment horizontal="center" vertical="center"/>
    </xf>
    <xf numFmtId="167" fontId="82" fillId="0" borderId="3" xfId="0" applyNumberFormat="1" applyFont="1" applyFill="1" applyBorder="1" applyAlignment="1">
      <alignment horizontal="center" vertical="center"/>
    </xf>
    <xf numFmtId="176" fontId="5" fillId="0" borderId="24" xfId="27" applyNumberFormat="1" applyFont="1" applyFill="1" applyBorder="1" applyAlignment="1" applyProtection="1">
      <alignment horizontal="right" vertical="center"/>
      <protection locked="0"/>
    </xf>
    <xf numFmtId="182" fontId="5" fillId="0" borderId="32" xfId="27" applyNumberFormat="1" applyFont="1" applyFill="1" applyBorder="1" applyAlignment="1">
      <alignment vertical="center"/>
    </xf>
    <xf numFmtId="175" fontId="5" fillId="0" borderId="14" xfId="27" applyNumberFormat="1" applyFont="1" applyFill="1" applyBorder="1"/>
    <xf numFmtId="175" fontId="9" fillId="0" borderId="14" xfId="27" applyNumberFormat="1" applyFont="1" applyFill="1" applyBorder="1"/>
    <xf numFmtId="182" fontId="12" fillId="0" borderId="24" xfId="27" applyNumberFormat="1" applyFont="1" applyFill="1" applyBorder="1" applyAlignment="1">
      <alignment vertical="center"/>
    </xf>
    <xf numFmtId="182" fontId="12" fillId="0" borderId="14" xfId="27" applyNumberFormat="1" applyFont="1" applyFill="1" applyBorder="1" applyAlignment="1">
      <alignment vertical="center"/>
    </xf>
    <xf numFmtId="182" fontId="5" fillId="0" borderId="23" xfId="27" applyNumberFormat="1" applyFont="1" applyFill="1" applyBorder="1" applyAlignment="1">
      <alignment vertical="center"/>
    </xf>
    <xf numFmtId="182" fontId="12" fillId="0" borderId="8" xfId="27" applyNumberFormat="1" applyFont="1" applyFill="1" applyBorder="1" applyAlignment="1">
      <alignment vertical="center"/>
    </xf>
    <xf numFmtId="182" fontId="10" fillId="0" borderId="24" xfId="27" applyNumberFormat="1" applyFont="1" applyFill="1" applyBorder="1" applyAlignment="1" applyProtection="1">
      <alignment horizontal="right" vertical="center"/>
      <protection locked="0"/>
    </xf>
    <xf numFmtId="182" fontId="12" fillId="0" borderId="14" xfId="27" applyNumberFormat="1" applyFont="1" applyFill="1" applyBorder="1"/>
    <xf numFmtId="182" fontId="9" fillId="0" borderId="8" xfId="27" applyNumberFormat="1" applyFont="1" applyFill="1" applyBorder="1" applyAlignment="1" applyProtection="1">
      <alignment horizontal="center" vertical="center"/>
      <protection locked="0"/>
    </xf>
    <xf numFmtId="182" fontId="10" fillId="0" borderId="14" xfId="27" applyNumberFormat="1" applyFont="1" applyFill="1" applyBorder="1"/>
    <xf numFmtId="182" fontId="9" fillId="0" borderId="24" xfId="27" applyNumberFormat="1" applyFont="1" applyFill="1" applyBorder="1" applyAlignment="1">
      <alignment/>
    </xf>
    <xf numFmtId="182" fontId="9" fillId="0" borderId="24" xfId="27" applyNumberFormat="1" applyFont="1" applyFill="1" applyBorder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Alignment="1">
      <alignment/>
    </xf>
    <xf numFmtId="0" fontId="4" fillId="0" borderId="4" xfId="0" applyFont="1" applyFill="1" applyBorder="1" applyAlignment="1">
      <alignment vertical="top"/>
    </xf>
    <xf numFmtId="0" fontId="95" fillId="0" borderId="3" xfId="0" applyFont="1" applyFill="1" applyBorder="1"/>
    <xf numFmtId="0" fontId="95" fillId="0" borderId="0" xfId="0" applyFont="1" applyFill="1"/>
    <xf numFmtId="0" fontId="95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49" fontId="81" fillId="0" borderId="0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horizontal="left" vertical="center" wrapText="1"/>
    </xf>
    <xf numFmtId="0" fontId="81" fillId="0" borderId="0" xfId="0" applyFont="1" applyBorder="1"/>
    <xf numFmtId="167" fontId="82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/>
    <xf numFmtId="181" fontId="34" fillId="0" borderId="0" xfId="31" applyNumberFormat="1" applyFont="1" applyFill="1" applyBorder="1" applyAlignment="1">
      <alignment horizontal="right"/>
      <protection/>
    </xf>
    <xf numFmtId="182" fontId="96" fillId="0" borderId="24" xfId="27" applyNumberFormat="1" applyFont="1" applyFill="1" applyBorder="1" applyAlignment="1">
      <alignment vertical="center"/>
    </xf>
    <xf numFmtId="175" fontId="96" fillId="0" borderId="14" xfId="27" applyNumberFormat="1" applyFont="1" applyFill="1" applyBorder="1" applyAlignment="1">
      <alignment vertical="center"/>
    </xf>
    <xf numFmtId="175" fontId="96" fillId="0" borderId="24" xfId="27" applyNumberFormat="1" applyFont="1" applyFill="1" applyBorder="1" applyAlignment="1" applyProtection="1">
      <alignment horizontal="right" vertical="center"/>
      <protection locked="0"/>
    </xf>
    <xf numFmtId="175" fontId="96" fillId="0" borderId="14" xfId="27" applyNumberFormat="1" applyFont="1" applyFill="1" applyBorder="1"/>
    <xf numFmtId="175" fontId="96" fillId="0" borderId="24" xfId="27" applyNumberFormat="1" applyFont="1" applyFill="1" applyBorder="1" applyAlignment="1">
      <alignment vertical="center"/>
    </xf>
    <xf numFmtId="175" fontId="96" fillId="0" borderId="8" xfId="27" applyNumberFormat="1" applyFont="1" applyFill="1" applyBorder="1" applyAlignment="1">
      <alignment vertical="center"/>
    </xf>
    <xf numFmtId="175" fontId="96" fillId="0" borderId="8" xfId="27" applyNumberFormat="1" applyFont="1" applyFill="1" applyBorder="1" applyAlignment="1" applyProtection="1">
      <alignment horizontal="center" vertical="center"/>
      <protection locked="0"/>
    </xf>
    <xf numFmtId="182" fontId="96" fillId="0" borderId="24" xfId="27" applyNumberFormat="1" applyFont="1" applyFill="1" applyBorder="1" applyAlignment="1" applyProtection="1">
      <alignment horizontal="right" vertical="center"/>
      <protection locked="0"/>
    </xf>
    <xf numFmtId="175" fontId="96" fillId="0" borderId="24" xfId="27" applyNumberFormat="1" applyFont="1" applyFill="1" applyBorder="1" applyAlignment="1">
      <alignment/>
    </xf>
    <xf numFmtId="175" fontId="96" fillId="0" borderId="8" xfId="27" applyNumberFormat="1" applyFont="1" applyFill="1" applyBorder="1" applyAlignment="1" applyProtection="1">
      <alignment horizontal="right" vertical="center"/>
      <protection locked="0"/>
    </xf>
    <xf numFmtId="175" fontId="96" fillId="0" borderId="24" xfId="27" applyNumberFormat="1" applyFont="1" applyFill="1" applyBorder="1"/>
    <xf numFmtId="165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81" fillId="0" borderId="56" xfId="0" applyNumberFormat="1" applyFont="1" applyBorder="1" applyAlignment="1">
      <alignment horizontal="center" vertical="center"/>
    </xf>
    <xf numFmtId="49" fontId="81" fillId="0" borderId="7" xfId="0" applyNumberFormat="1" applyFont="1" applyBorder="1" applyAlignment="1">
      <alignment horizontal="center" vertical="center"/>
    </xf>
    <xf numFmtId="0" fontId="81" fillId="0" borderId="56" xfId="0" applyFont="1" applyBorder="1" applyAlignment="1">
      <alignment horizontal="left" vertical="center" wrapText="1"/>
    </xf>
    <xf numFmtId="0" fontId="81" fillId="0" borderId="7" xfId="0" applyFont="1" applyBorder="1" applyAlignment="1">
      <alignment horizontal="left" vertical="center" wrapText="1"/>
    </xf>
    <xf numFmtId="49" fontId="81" fillId="0" borderId="44" xfId="0" applyNumberFormat="1" applyFont="1" applyBorder="1" applyAlignment="1">
      <alignment horizontal="center" vertical="center"/>
    </xf>
    <xf numFmtId="0" fontId="81" fillId="0" borderId="44" xfId="0" applyFont="1" applyBorder="1" applyAlignment="1">
      <alignment horizontal="left" vertical="center" wrapText="1"/>
    </xf>
    <xf numFmtId="49" fontId="81" fillId="0" borderId="51" xfId="0" applyNumberFormat="1" applyFont="1" applyBorder="1" applyAlignment="1">
      <alignment horizontal="center" vertical="center"/>
    </xf>
    <xf numFmtId="0" fontId="81" fillId="0" borderId="51" xfId="0" applyFont="1" applyBorder="1" applyAlignment="1">
      <alignment horizontal="left" vertical="center" wrapText="1"/>
    </xf>
    <xf numFmtId="0" fontId="81" fillId="0" borderId="43" xfId="0" applyFont="1" applyBorder="1" applyAlignment="1">
      <alignment horizontal="center" vertical="center"/>
    </xf>
    <xf numFmtId="0" fontId="81" fillId="0" borderId="44" xfId="0" applyFont="1" applyBorder="1" applyAlignment="1">
      <alignment horizontal="center" vertical="center"/>
    </xf>
    <xf numFmtId="0" fontId="82" fillId="0" borderId="43" xfId="0" applyFont="1" applyBorder="1" applyAlignment="1">
      <alignment horizontal="left" vertical="center" wrapText="1"/>
    </xf>
    <xf numFmtId="0" fontId="82" fillId="0" borderId="44" xfId="0" applyFont="1" applyBorder="1" applyAlignment="1">
      <alignment horizontal="left" vertical="center" wrapText="1"/>
    </xf>
    <xf numFmtId="0" fontId="81" fillId="0" borderId="43" xfId="0" applyFont="1" applyBorder="1" applyAlignment="1">
      <alignment horizontal="center" vertical="center"/>
    </xf>
    <xf numFmtId="0" fontId="81" fillId="0" borderId="44" xfId="0" applyFont="1" applyBorder="1" applyAlignment="1">
      <alignment horizontal="center" vertical="center"/>
    </xf>
    <xf numFmtId="49" fontId="81" fillId="0" borderId="43" xfId="0" applyNumberFormat="1" applyFont="1" applyBorder="1" applyAlignment="1">
      <alignment horizontal="center" vertical="center"/>
    </xf>
    <xf numFmtId="0" fontId="82" fillId="0" borderId="4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49" fontId="81" fillId="7" borderId="43" xfId="0" applyNumberFormat="1" applyFont="1" applyFill="1" applyBorder="1" applyAlignment="1">
      <alignment horizontal="center" vertical="center"/>
    </xf>
    <xf numFmtId="49" fontId="81" fillId="7" borderId="44" xfId="0" applyNumberFormat="1" applyFont="1" applyFill="1" applyBorder="1" applyAlignment="1">
      <alignment horizontal="center" vertical="center"/>
    </xf>
    <xf numFmtId="0" fontId="81" fillId="0" borderId="29" xfId="0" applyFont="1" applyBorder="1" applyAlignment="1">
      <alignment horizontal="center" vertical="center"/>
    </xf>
    <xf numFmtId="0" fontId="81" fillId="0" borderId="52" xfId="0" applyFont="1" applyBorder="1" applyAlignment="1">
      <alignment horizontal="center" vertical="center"/>
    </xf>
    <xf numFmtId="0" fontId="82" fillId="0" borderId="64" xfId="0" applyFont="1" applyBorder="1" applyAlignment="1">
      <alignment horizontal="left" vertical="center" wrapText="1"/>
    </xf>
    <xf numFmtId="0" fontId="82" fillId="0" borderId="71" xfId="0" applyFont="1" applyBorder="1" applyAlignment="1">
      <alignment horizontal="left" vertical="center" wrapText="1"/>
    </xf>
    <xf numFmtId="0" fontId="81" fillId="0" borderId="7" xfId="0" applyFont="1" applyBorder="1" applyAlignment="1">
      <alignment horizontal="center" vertical="center"/>
    </xf>
    <xf numFmtId="0" fontId="81" fillId="0" borderId="5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left" vertical="center" wrapText="1"/>
    </xf>
    <xf numFmtId="2" fontId="5" fillId="0" borderId="79" xfId="0" applyNumberFormat="1" applyFont="1" applyBorder="1" applyAlignment="1">
      <alignment horizontal="left" vertical="center" wrapText="1"/>
    </xf>
    <xf numFmtId="49" fontId="81" fillId="0" borderId="29" xfId="0" applyNumberFormat="1" applyFont="1" applyBorder="1" applyAlignment="1">
      <alignment horizontal="center" vertical="center"/>
    </xf>
    <xf numFmtId="49" fontId="81" fillId="0" borderId="52" xfId="0" applyNumberFormat="1" applyFont="1" applyBorder="1" applyAlignment="1">
      <alignment horizontal="center" vertical="center"/>
    </xf>
    <xf numFmtId="0" fontId="5" fillId="0" borderId="64" xfId="0" applyFont="1" applyBorder="1" applyAlignment="1">
      <alignment horizontal="left" vertical="center" wrapText="1"/>
    </xf>
    <xf numFmtId="0" fontId="5" fillId="0" borderId="71" xfId="0" applyFont="1" applyBorder="1" applyAlignment="1">
      <alignment horizontal="left" vertical="center" wrapText="1"/>
    </xf>
    <xf numFmtId="49" fontId="81" fillId="0" borderId="12" xfId="0" applyNumberFormat="1" applyFont="1" applyFill="1" applyBorder="1" applyAlignment="1">
      <alignment horizontal="center" vertical="center"/>
    </xf>
    <xf numFmtId="49" fontId="81" fillId="0" borderId="52" xfId="0" applyNumberFormat="1" applyFont="1" applyFill="1" applyBorder="1" applyAlignment="1">
      <alignment horizontal="center" vertical="center"/>
    </xf>
    <xf numFmtId="0" fontId="81" fillId="0" borderId="18" xfId="0" applyFont="1" applyFill="1" applyBorder="1" applyAlignment="1">
      <alignment horizontal="left" vertical="center" wrapText="1"/>
    </xf>
    <xf numFmtId="0" fontId="81" fillId="0" borderId="71" xfId="0" applyFont="1" applyFill="1" applyBorder="1" applyAlignment="1">
      <alignment horizontal="left" vertical="center" wrapText="1"/>
    </xf>
    <xf numFmtId="49" fontId="81" fillId="0" borderId="7" xfId="0" applyNumberFormat="1" applyFont="1" applyFill="1" applyBorder="1" applyAlignment="1">
      <alignment horizontal="center" vertical="center"/>
    </xf>
    <xf numFmtId="49" fontId="81" fillId="0" borderId="56" xfId="0" applyNumberFormat="1" applyFont="1" applyFill="1" applyBorder="1" applyAlignment="1">
      <alignment horizontal="center" vertical="center"/>
    </xf>
    <xf numFmtId="0" fontId="82" fillId="0" borderId="16" xfId="0" applyFont="1" applyFill="1" applyBorder="1" applyAlignment="1">
      <alignment horizontal="left" vertical="center" wrapText="1"/>
    </xf>
    <xf numFmtId="0" fontId="82" fillId="0" borderId="79" xfId="0" applyFont="1" applyFill="1" applyBorder="1" applyAlignment="1">
      <alignment horizontal="left" vertical="center" wrapText="1"/>
    </xf>
    <xf numFmtId="49" fontId="81" fillId="0" borderId="29" xfId="0" applyNumberFormat="1" applyFont="1" applyFill="1" applyBorder="1" applyAlignment="1">
      <alignment horizontal="center" vertical="center"/>
    </xf>
    <xf numFmtId="0" fontId="82" fillId="0" borderId="64" xfId="0" applyFont="1" applyFill="1" applyBorder="1" applyAlignment="1">
      <alignment horizontal="left" vertical="center" wrapText="1"/>
    </xf>
    <xf numFmtId="0" fontId="82" fillId="0" borderId="71" xfId="0" applyFont="1" applyFill="1" applyBorder="1" applyAlignment="1">
      <alignment horizontal="left" vertical="center" wrapText="1"/>
    </xf>
    <xf numFmtId="0" fontId="82" fillId="0" borderId="18" xfId="0" applyFont="1" applyFill="1" applyBorder="1" applyAlignment="1">
      <alignment horizontal="left" vertical="center" wrapText="1"/>
    </xf>
    <xf numFmtId="49" fontId="81" fillId="6" borderId="7" xfId="0" applyNumberFormat="1" applyFont="1" applyFill="1" applyBorder="1" applyAlignment="1">
      <alignment horizontal="center" vertical="center"/>
    </xf>
    <xf numFmtId="49" fontId="81" fillId="6" borderId="12" xfId="0" applyNumberFormat="1" applyFont="1" applyFill="1" applyBorder="1" applyAlignment="1">
      <alignment horizontal="center" vertical="center"/>
    </xf>
    <xf numFmtId="0" fontId="82" fillId="6" borderId="16" xfId="0" applyFont="1" applyFill="1" applyBorder="1" applyAlignment="1">
      <alignment horizontal="left" vertical="center" wrapText="1"/>
    </xf>
    <xf numFmtId="0" fontId="82" fillId="6" borderId="18" xfId="0" applyFont="1" applyFill="1" applyBorder="1" applyAlignment="1">
      <alignment horizontal="left" vertical="center" wrapText="1"/>
    </xf>
    <xf numFmtId="0" fontId="87" fillId="0" borderId="64" xfId="0" applyFont="1" applyFill="1" applyBorder="1" applyAlignment="1">
      <alignment horizontal="left" vertical="center" wrapText="1"/>
    </xf>
    <xf numFmtId="0" fontId="87" fillId="0" borderId="71" xfId="0" applyFont="1" applyFill="1" applyBorder="1" applyAlignment="1">
      <alignment horizontal="left" vertical="center" wrapText="1"/>
    </xf>
    <xf numFmtId="0" fontId="87" fillId="2" borderId="16" xfId="0" applyFont="1" applyFill="1" applyBorder="1" applyAlignment="1">
      <alignment horizontal="left" vertical="center" wrapText="1"/>
    </xf>
    <xf numFmtId="0" fontId="87" fillId="2" borderId="79" xfId="0" applyFont="1" applyFill="1" applyBorder="1" applyAlignment="1">
      <alignment horizontal="left" vertical="center" wrapText="1"/>
    </xf>
    <xf numFmtId="0" fontId="87" fillId="0" borderId="64" xfId="0" applyFont="1" applyFill="1" applyBorder="1" applyAlignment="1">
      <alignment horizontal="left" vertical="center" wrapText="1"/>
    </xf>
    <xf numFmtId="0" fontId="87" fillId="0" borderId="71" xfId="0" applyFont="1" applyFill="1" applyBorder="1" applyAlignment="1">
      <alignment horizontal="left" vertical="center" wrapText="1"/>
    </xf>
    <xf numFmtId="0" fontId="82" fillId="2" borderId="16" xfId="0" applyFont="1" applyFill="1" applyBorder="1" applyAlignment="1">
      <alignment horizontal="left" vertical="center" wrapText="1"/>
    </xf>
    <xf numFmtId="0" fontId="82" fillId="2" borderId="79" xfId="0" applyFont="1" applyFill="1" applyBorder="1" applyAlignment="1">
      <alignment horizontal="left" vertical="center" wrapText="1"/>
    </xf>
    <xf numFmtId="0" fontId="82" fillId="2" borderId="18" xfId="0" applyFont="1" applyFill="1" applyBorder="1" applyAlignment="1">
      <alignment horizontal="left" vertical="center" wrapText="1"/>
    </xf>
    <xf numFmtId="0" fontId="82" fillId="2" borderId="64" xfId="0" applyFont="1" applyFill="1" applyBorder="1" applyAlignment="1">
      <alignment horizontal="left" vertical="center" wrapText="1"/>
    </xf>
    <xf numFmtId="0" fontId="82" fillId="2" borderId="71" xfId="0" applyFont="1" applyFill="1" applyBorder="1" applyAlignment="1">
      <alignment horizontal="left" vertical="center" wrapText="1"/>
    </xf>
    <xf numFmtId="0" fontId="87" fillId="2" borderId="71" xfId="0" applyFont="1" applyFill="1" applyBorder="1" applyAlignment="1">
      <alignment horizontal="left" vertical="center" wrapText="1"/>
    </xf>
    <xf numFmtId="49" fontId="81" fillId="0" borderId="12" xfId="0" applyNumberFormat="1" applyFont="1" applyFill="1" applyBorder="1" applyAlignment="1">
      <alignment horizontal="center" vertical="center"/>
    </xf>
    <xf numFmtId="0" fontId="81" fillId="0" borderId="18" xfId="0" applyFont="1" applyFill="1" applyBorder="1" applyAlignment="1">
      <alignment horizontal="left" vertical="center" wrapText="1"/>
    </xf>
    <xf numFmtId="49" fontId="81" fillId="2" borderId="51" xfId="0" applyNumberFormat="1" applyFont="1" applyFill="1" applyBorder="1" applyAlignment="1">
      <alignment horizontal="center" vertical="center"/>
    </xf>
    <xf numFmtId="49" fontId="81" fillId="2" borderId="7" xfId="0" applyNumberFormat="1" applyFont="1" applyFill="1" applyBorder="1" applyAlignment="1">
      <alignment horizontal="center" vertical="center"/>
    </xf>
    <xf numFmtId="49" fontId="81" fillId="0" borderId="29" xfId="0" applyNumberFormat="1" applyFont="1" applyFill="1" applyBorder="1" applyAlignment="1">
      <alignment horizontal="center" vertical="center"/>
    </xf>
    <xf numFmtId="0" fontId="82" fillId="6" borderId="64" xfId="0" applyFont="1" applyFill="1" applyBorder="1" applyAlignment="1">
      <alignment horizontal="left" vertical="center" wrapText="1"/>
    </xf>
    <xf numFmtId="0" fontId="82" fillId="6" borderId="18" xfId="0" applyFont="1" applyFill="1" applyBorder="1" applyAlignment="1">
      <alignment horizontal="left" vertical="center" wrapText="1"/>
    </xf>
    <xf numFmtId="0" fontId="90" fillId="0" borderId="46" xfId="0" applyFont="1" applyBorder="1" applyAlignment="1">
      <alignment horizontal="center" vertical="center" wrapText="1"/>
    </xf>
    <xf numFmtId="0" fontId="90" fillId="0" borderId="4" xfId="0" applyFont="1" applyBorder="1" applyAlignment="1">
      <alignment horizontal="center" vertical="center" wrapText="1"/>
    </xf>
    <xf numFmtId="0" fontId="90" fillId="0" borderId="38" xfId="0" applyFont="1" applyBorder="1" applyAlignment="1">
      <alignment horizontal="center" vertical="center" wrapText="1"/>
    </xf>
    <xf numFmtId="0" fontId="90" fillId="0" borderId="47" xfId="0" applyFont="1" applyBorder="1" applyAlignment="1">
      <alignment horizontal="center" vertical="center" wrapText="1"/>
    </xf>
    <xf numFmtId="0" fontId="90" fillId="0" borderId="39" xfId="0" applyFont="1" applyBorder="1" applyAlignment="1">
      <alignment horizontal="center" vertical="center" wrapText="1"/>
    </xf>
    <xf numFmtId="0" fontId="90" fillId="0" borderId="42" xfId="0" applyFont="1" applyBorder="1" applyAlignment="1">
      <alignment horizontal="center" vertical="center" wrapText="1"/>
    </xf>
    <xf numFmtId="0" fontId="91" fillId="0" borderId="30" xfId="0" applyFont="1" applyBorder="1" applyAlignment="1">
      <alignment horizontal="center" vertical="center" wrapText="1"/>
    </xf>
    <xf numFmtId="0" fontId="90" fillId="0" borderId="2" xfId="0" applyNumberFormat="1" applyFont="1" applyBorder="1" applyAlignment="1">
      <alignment horizontal="center" vertical="center" wrapText="1"/>
    </xf>
    <xf numFmtId="0" fontId="90" fillId="0" borderId="1" xfId="0" applyNumberFormat="1" applyFont="1" applyBorder="1" applyAlignment="1">
      <alignment horizontal="center" vertical="center" wrapText="1"/>
    </xf>
    <xf numFmtId="0" fontId="90" fillId="0" borderId="9" xfId="0" applyNumberFormat="1" applyFont="1" applyBorder="1" applyAlignment="1">
      <alignment horizontal="center" vertical="center" wrapText="1"/>
    </xf>
    <xf numFmtId="0" fontId="90" fillId="0" borderId="2" xfId="0" applyFont="1" applyBorder="1" applyAlignment="1">
      <alignment horizontal="center" vertical="center" wrapText="1"/>
    </xf>
    <xf numFmtId="0" fontId="90" fillId="0" borderId="1" xfId="0" applyFont="1" applyBorder="1" applyAlignment="1">
      <alignment horizontal="center" vertical="center" wrapText="1"/>
    </xf>
    <xf numFmtId="0" fontId="90" fillId="0" borderId="9" xfId="0" applyFont="1" applyBorder="1" applyAlignment="1">
      <alignment horizontal="center" vertical="center" wrapText="1"/>
    </xf>
    <xf numFmtId="0" fontId="88" fillId="0" borderId="46" xfId="0" applyFont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43" xfId="0" applyFont="1" applyBorder="1" applyAlignment="1">
      <alignment horizontal="center" vertical="center"/>
    </xf>
    <xf numFmtId="0" fontId="88" fillId="0" borderId="51" xfId="0" applyFont="1" applyBorder="1" applyAlignment="1">
      <alignment horizontal="center" vertical="center"/>
    </xf>
    <xf numFmtId="0" fontId="73" fillId="0" borderId="47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81" fillId="0" borderId="2" xfId="0" applyFont="1" applyBorder="1" applyAlignment="1">
      <alignment horizontal="center" vertical="center" wrapText="1"/>
    </xf>
    <xf numFmtId="0" fontId="81" fillId="0" borderId="1" xfId="0" applyFont="1" applyBorder="1" applyAlignment="1">
      <alignment horizontal="center" vertical="center" wrapText="1"/>
    </xf>
    <xf numFmtId="0" fontId="81" fillId="0" borderId="9" xfId="0" applyFont="1" applyBorder="1" applyAlignment="1">
      <alignment horizontal="center" vertical="center" wrapText="1"/>
    </xf>
    <xf numFmtId="0" fontId="89" fillId="0" borderId="38" xfId="0" applyFont="1" applyBorder="1" applyAlignment="1">
      <alignment horizontal="center" vertical="center" wrapText="1"/>
    </xf>
    <xf numFmtId="0" fontId="89" fillId="0" borderId="46" xfId="0" applyFont="1" applyBorder="1" applyAlignment="1">
      <alignment horizontal="center" vertical="center" wrapText="1"/>
    </xf>
    <xf numFmtId="0" fontId="89" fillId="0" borderId="47" xfId="0" applyFont="1" applyBorder="1" applyAlignment="1">
      <alignment horizontal="center" vertical="center" wrapText="1"/>
    </xf>
    <xf numFmtId="0" fontId="89" fillId="0" borderId="39" xfId="0" applyFont="1" applyBorder="1" applyAlignment="1">
      <alignment horizontal="center" vertical="center" wrapText="1"/>
    </xf>
    <xf numFmtId="0" fontId="89" fillId="0" borderId="4" xfId="0" applyFont="1" applyBorder="1" applyAlignment="1">
      <alignment horizontal="center" vertical="center" wrapText="1"/>
    </xf>
    <xf numFmtId="0" fontId="89" fillId="0" borderId="42" xfId="0" applyFont="1" applyBorder="1" applyAlignment="1">
      <alignment horizontal="center" vertical="center" wrapText="1"/>
    </xf>
    <xf numFmtId="0" fontId="81" fillId="0" borderId="43" xfId="0" applyFont="1" applyBorder="1" applyAlignment="1">
      <alignment horizontal="left" vertical="center" wrapText="1"/>
    </xf>
    <xf numFmtId="165" fontId="9" fillId="0" borderId="0" xfId="0" applyNumberFormat="1" applyFont="1" applyFill="1" applyBorder="1" applyAlignment="1">
      <alignment horizontal="left" wrapText="1"/>
    </xf>
    <xf numFmtId="0" fontId="73" fillId="0" borderId="43" xfId="0" applyFont="1" applyBorder="1" applyAlignment="1">
      <alignment horizontal="center" vertical="center"/>
    </xf>
    <xf numFmtId="0" fontId="73" fillId="0" borderId="44" xfId="0" applyFont="1" applyBorder="1" applyAlignment="1">
      <alignment horizontal="center" vertical="center"/>
    </xf>
    <xf numFmtId="0" fontId="73" fillId="0" borderId="43" xfId="0" applyFont="1" applyBorder="1" applyAlignment="1">
      <alignment horizontal="center" vertical="center" wrapText="1"/>
    </xf>
    <xf numFmtId="0" fontId="73" fillId="0" borderId="44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0" fontId="82" fillId="0" borderId="4" xfId="0" applyFont="1" applyBorder="1" applyAlignment="1">
      <alignment horizontal="left"/>
    </xf>
    <xf numFmtId="0" fontId="87" fillId="2" borderId="64" xfId="0" applyFont="1" applyFill="1" applyBorder="1" applyAlignment="1">
      <alignment horizontal="left" vertical="center" wrapText="1"/>
    </xf>
    <xf numFmtId="0" fontId="82" fillId="0" borderId="2" xfId="0" applyFont="1" applyBorder="1" applyAlignment="1">
      <alignment horizontal="center" vertical="center" wrapText="1"/>
    </xf>
    <xf numFmtId="0" fontId="82" fillId="0" borderId="1" xfId="0" applyFont="1" applyBorder="1" applyAlignment="1">
      <alignment horizontal="center" vertical="center" wrapText="1"/>
    </xf>
    <xf numFmtId="0" fontId="82" fillId="0" borderId="9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49" fontId="82" fillId="0" borderId="43" xfId="0" applyNumberFormat="1" applyFont="1" applyBorder="1" applyAlignment="1">
      <alignment horizontal="center" vertical="center"/>
    </xf>
    <xf numFmtId="49" fontId="82" fillId="0" borderId="44" xfId="0" applyNumberFormat="1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wrapText="1"/>
    </xf>
    <xf numFmtId="0" fontId="4" fillId="0" borderId="64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52" xfId="0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3" fillId="0" borderId="53" xfId="0" applyFont="1" applyFill="1" applyBorder="1"/>
    <xf numFmtId="0" fontId="4" fillId="0" borderId="64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6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20" applyFont="1" applyBorder="1" applyAlignment="1">
      <alignment horizontal="center" vertical="center" wrapText="1"/>
      <protection/>
    </xf>
    <xf numFmtId="0" fontId="41" fillId="2" borderId="0" xfId="20" applyFont="1" applyFill="1" applyBorder="1" applyAlignment="1">
      <alignment horizontal="center" vertical="center" wrapText="1"/>
      <protection/>
    </xf>
    <xf numFmtId="0" fontId="41" fillId="0" borderId="0" xfId="20" applyFont="1" applyBorder="1" applyAlignment="1">
      <alignment horizontal="center" vertical="center" wrapText="1"/>
      <protection/>
    </xf>
    <xf numFmtId="167" fontId="70" fillId="0" borderId="1" xfId="20" applyNumberFormat="1" applyFont="1" applyFill="1" applyBorder="1" applyAlignment="1">
      <alignment horizontal="center"/>
      <protection/>
    </xf>
    <xf numFmtId="0" fontId="44" fillId="2" borderId="29" xfId="20" applyFont="1" applyFill="1" applyBorder="1" applyAlignment="1">
      <alignment horizontal="center" vertical="center" wrapText="1"/>
      <protection/>
    </xf>
    <xf numFmtId="0" fontId="44" fillId="2" borderId="56" xfId="20" applyFont="1" applyFill="1" applyBorder="1" applyAlignment="1">
      <alignment horizontal="center" vertical="center" wrapText="1"/>
      <protection/>
    </xf>
    <xf numFmtId="0" fontId="45" fillId="0" borderId="43" xfId="20" applyFont="1" applyBorder="1" applyAlignment="1">
      <alignment horizontal="center" vertical="center" wrapText="1"/>
      <protection/>
    </xf>
    <xf numFmtId="0" fontId="45" fillId="0" borderId="51" xfId="20" applyFont="1" applyBorder="1" applyAlignment="1">
      <alignment horizontal="center" vertical="center" wrapText="1"/>
      <protection/>
    </xf>
    <xf numFmtId="0" fontId="5" fillId="0" borderId="43" xfId="20" applyFont="1" applyBorder="1" applyAlignment="1">
      <alignment horizontal="center" vertical="center" wrapText="1"/>
      <protection/>
    </xf>
    <xf numFmtId="0" fontId="5" fillId="0" borderId="51" xfId="20" applyFont="1" applyBorder="1" applyAlignment="1">
      <alignment horizontal="center" vertical="center" wrapText="1"/>
      <protection/>
    </xf>
    <xf numFmtId="0" fontId="44" fillId="2" borderId="43" xfId="20" applyFont="1" applyFill="1" applyBorder="1" applyAlignment="1">
      <alignment horizontal="center" vertical="center" textRotation="90" wrapText="1"/>
      <protection/>
    </xf>
    <xf numFmtId="0" fontId="44" fillId="2" borderId="51" xfId="20" applyFont="1" applyFill="1" applyBorder="1" applyAlignment="1">
      <alignment horizontal="center" vertical="center" textRotation="90" wrapText="1"/>
      <protection/>
    </xf>
    <xf numFmtId="0" fontId="44" fillId="0" borderId="21" xfId="20" applyFont="1" applyBorder="1" applyAlignment="1">
      <alignment horizontal="center" vertical="center"/>
      <protection/>
    </xf>
    <xf numFmtId="0" fontId="44" fillId="0" borderId="24" xfId="20" applyFont="1" applyBorder="1" applyAlignment="1">
      <alignment horizontal="center" vertical="center"/>
      <protection/>
    </xf>
    <xf numFmtId="0" fontId="44" fillId="0" borderId="68" xfId="20" applyFont="1" applyBorder="1" applyAlignment="1">
      <alignment horizontal="center" vertical="center"/>
      <protection/>
    </xf>
    <xf numFmtId="0" fontId="44" fillId="0" borderId="70" xfId="20" applyFont="1" applyFill="1" applyBorder="1" applyAlignment="1">
      <alignment horizontal="center" vertical="center"/>
      <protection/>
    </xf>
    <xf numFmtId="0" fontId="44" fillId="0" borderId="32" xfId="20" applyFont="1" applyFill="1" applyBorder="1" applyAlignment="1">
      <alignment horizontal="center" vertical="center"/>
      <protection/>
    </xf>
    <xf numFmtId="0" fontId="44" fillId="0" borderId="75" xfId="20" applyFont="1" applyFill="1" applyBorder="1" applyAlignment="1">
      <alignment horizontal="center" vertical="center"/>
      <protection/>
    </xf>
    <xf numFmtId="0" fontId="45" fillId="2" borderId="2" xfId="20" applyFont="1" applyFill="1" applyBorder="1" applyAlignment="1">
      <alignment horizontal="center" vertical="center"/>
      <protection/>
    </xf>
    <xf numFmtId="0" fontId="45" fillId="2" borderId="1" xfId="20" applyFont="1" applyFill="1" applyBorder="1" applyAlignment="1">
      <alignment horizontal="center" vertical="center"/>
      <protection/>
    </xf>
    <xf numFmtId="0" fontId="45" fillId="2" borderId="9" xfId="20" applyFont="1" applyFill="1" applyBorder="1" applyAlignment="1">
      <alignment horizontal="center" vertical="center"/>
      <protection/>
    </xf>
    <xf numFmtId="0" fontId="7" fillId="2" borderId="25" xfId="20" applyFont="1" applyFill="1" applyBorder="1" applyAlignment="1">
      <alignment horizontal="center" vertical="center" textRotation="90" wrapText="1"/>
      <protection/>
    </xf>
    <xf numFmtId="0" fontId="7" fillId="2" borderId="72" xfId="20" applyFont="1" applyFill="1" applyBorder="1" applyAlignment="1">
      <alignment horizontal="center" vertical="center" textRotation="90" wrapText="1"/>
      <protection/>
    </xf>
    <xf numFmtId="0" fontId="44" fillId="2" borderId="62" xfId="20" applyFont="1" applyFill="1" applyBorder="1" applyAlignment="1">
      <alignment horizontal="center" vertical="center" textRotation="90" wrapText="1"/>
      <protection/>
    </xf>
    <xf numFmtId="0" fontId="44" fillId="2" borderId="67" xfId="20" applyFont="1" applyFill="1" applyBorder="1" applyAlignment="1">
      <alignment horizontal="center" vertical="center" textRotation="90" wrapText="1"/>
      <protection/>
    </xf>
    <xf numFmtId="0" fontId="7" fillId="2" borderId="25" xfId="20" applyFont="1" applyFill="1" applyBorder="1" applyAlignment="1">
      <alignment horizontal="center" vertical="center" wrapText="1"/>
      <protection/>
    </xf>
    <xf numFmtId="0" fontId="7" fillId="2" borderId="72" xfId="20" applyFont="1" applyFill="1" applyBorder="1" applyAlignment="1">
      <alignment horizontal="center" vertical="center" wrapText="1"/>
      <protection/>
    </xf>
    <xf numFmtId="0" fontId="44" fillId="2" borderId="61" xfId="20" applyFont="1" applyFill="1" applyBorder="1" applyAlignment="1">
      <alignment horizontal="center" vertical="center" wrapText="1"/>
      <protection/>
    </xf>
    <xf numFmtId="0" fontId="44" fillId="2" borderId="73" xfId="20" applyFont="1" applyFill="1" applyBorder="1" applyAlignment="1">
      <alignment horizontal="center" vertical="center" wrapText="1"/>
      <protection/>
    </xf>
    <xf numFmtId="0" fontId="44" fillId="2" borderId="47" xfId="20" applyFont="1" applyFill="1" applyBorder="1" applyAlignment="1">
      <alignment horizontal="center" vertical="center" textRotation="90" wrapText="1"/>
      <protection/>
    </xf>
    <xf numFmtId="0" fontId="44" fillId="2" borderId="48" xfId="20" applyFont="1" applyFill="1" applyBorder="1" applyAlignment="1">
      <alignment horizontal="center" vertical="center" textRotation="90" wrapText="1"/>
      <protection/>
    </xf>
    <xf numFmtId="0" fontId="44" fillId="2" borderId="80" xfId="20" applyFont="1" applyFill="1" applyBorder="1" applyAlignment="1">
      <alignment horizontal="center" vertical="center" wrapText="1"/>
      <protection/>
    </xf>
    <xf numFmtId="0" fontId="44" fillId="2" borderId="81" xfId="20" applyFont="1" applyFill="1" applyBorder="1" applyAlignment="1">
      <alignment horizontal="center" vertical="center" wrapText="1"/>
      <protection/>
    </xf>
    <xf numFmtId="0" fontId="44" fillId="2" borderId="22" xfId="20" applyFont="1" applyFill="1" applyBorder="1" applyAlignment="1">
      <alignment horizontal="center" vertical="center" wrapText="1"/>
      <protection/>
    </xf>
    <xf numFmtId="0" fontId="44" fillId="2" borderId="54" xfId="20" applyFont="1" applyFill="1" applyBorder="1" applyAlignment="1">
      <alignment horizontal="center" vertical="center" wrapText="1"/>
      <protection/>
    </xf>
    <xf numFmtId="0" fontId="44" fillId="2" borderId="25" xfId="20" applyFont="1" applyFill="1" applyBorder="1" applyAlignment="1">
      <alignment horizontal="center" vertical="center" wrapText="1"/>
      <protection/>
    </xf>
    <xf numFmtId="0" fontId="44" fillId="2" borderId="72" xfId="20" applyFont="1" applyFill="1" applyBorder="1" applyAlignment="1">
      <alignment horizontal="center" vertical="center" wrapText="1"/>
      <protection/>
    </xf>
    <xf numFmtId="0" fontId="44" fillId="2" borderId="62" xfId="20" applyFont="1" applyFill="1" applyBorder="1" applyAlignment="1">
      <alignment horizontal="center" vertical="center" wrapText="1"/>
      <protection/>
    </xf>
    <xf numFmtId="0" fontId="44" fillId="2" borderId="67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horizontal="center"/>
      <protection/>
    </xf>
    <xf numFmtId="0" fontId="9" fillId="0" borderId="0" xfId="20" applyFont="1" applyAlignment="1">
      <alignment horizontal="right"/>
      <protection/>
    </xf>
    <xf numFmtId="0" fontId="18" fillId="0" borderId="0" xfId="20" applyFont="1" applyAlignment="1">
      <alignment horizontal="right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41" fillId="0" borderId="29" xfId="0" applyFont="1" applyFill="1" applyBorder="1" applyAlignment="1">
      <alignment horizontal="center" vertical="center" wrapText="1"/>
    </xf>
    <xf numFmtId="0" fontId="41" fillId="0" borderId="5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71" xfId="0" applyFont="1" applyFill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center" vertical="center" wrapText="1"/>
    </xf>
    <xf numFmtId="0" fontId="41" fillId="0" borderId="4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0" fontId="41" fillId="0" borderId="57" xfId="0" applyFont="1" applyFill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center" vertical="center" wrapText="1"/>
    </xf>
    <xf numFmtId="0" fontId="41" fillId="0" borderId="39" xfId="0" applyFont="1" applyFill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center" vertical="center"/>
    </xf>
    <xf numFmtId="0" fontId="41" fillId="0" borderId="46" xfId="0" applyFont="1" applyFill="1" applyBorder="1" applyAlignment="1">
      <alignment horizontal="center" vertical="center"/>
    </xf>
    <xf numFmtId="0" fontId="41" fillId="0" borderId="65" xfId="0" applyFont="1" applyFill="1" applyBorder="1" applyAlignment="1">
      <alignment horizontal="center" vertical="center"/>
    </xf>
    <xf numFmtId="0" fontId="41" fillId="0" borderId="69" xfId="0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41" fillId="0" borderId="47" xfId="0" applyFont="1" applyFill="1" applyBorder="1" applyAlignment="1">
      <alignment horizontal="center" vertical="center"/>
    </xf>
    <xf numFmtId="0" fontId="41" fillId="0" borderId="48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0" fontId="41" fillId="0" borderId="51" xfId="0" applyFont="1" applyFill="1" applyBorder="1" applyAlignment="1">
      <alignment horizontal="center" vertical="center"/>
    </xf>
    <xf numFmtId="0" fontId="41" fillId="0" borderId="44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top"/>
    </xf>
    <xf numFmtId="0" fontId="5" fillId="0" borderId="69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55" fillId="0" borderId="61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172" fontId="44" fillId="0" borderId="27" xfId="0" applyNumberFormat="1" applyFont="1" applyBorder="1" applyAlignment="1">
      <alignment horizontal="center" vertical="center"/>
    </xf>
    <xf numFmtId="172" fontId="44" fillId="0" borderId="34" xfId="0" applyNumberFormat="1" applyFont="1" applyBorder="1" applyAlignment="1">
      <alignment horizontal="center" vertical="center"/>
    </xf>
    <xf numFmtId="172" fontId="44" fillId="0" borderId="23" xfId="0" applyNumberFormat="1" applyFont="1" applyBorder="1" applyAlignment="1">
      <alignment horizontal="center" vertical="center" wrapText="1"/>
    </xf>
    <xf numFmtId="172" fontId="44" fillId="0" borderId="36" xfId="0" applyNumberFormat="1" applyFont="1" applyBorder="1" applyAlignment="1">
      <alignment horizontal="center" vertical="center" wrapText="1"/>
    </xf>
    <xf numFmtId="172" fontId="44" fillId="0" borderId="13" xfId="0" applyNumberFormat="1" applyFont="1" applyBorder="1" applyAlignment="1">
      <alignment horizontal="center" vertical="center"/>
    </xf>
    <xf numFmtId="172" fontId="44" fillId="0" borderId="45" xfId="0" applyNumberFormat="1" applyFont="1" applyBorder="1" applyAlignment="1">
      <alignment horizontal="center" vertical="center"/>
    </xf>
    <xf numFmtId="172" fontId="44" fillId="0" borderId="20" xfId="0" applyNumberFormat="1" applyFont="1" applyBorder="1" applyAlignment="1">
      <alignment horizontal="center" vertical="center" wrapText="1"/>
    </xf>
    <xf numFmtId="172" fontId="44" fillId="0" borderId="37" xfId="0" applyNumberFormat="1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 vertical="center"/>
    </xf>
    <xf numFmtId="172" fontId="5" fillId="0" borderId="5" xfId="0" applyNumberFormat="1" applyFont="1" applyBorder="1" applyAlignment="1">
      <alignment horizontal="center" vertical="center"/>
    </xf>
    <xf numFmtId="172" fontId="5" fillId="0" borderId="6" xfId="0" applyNumberFormat="1" applyFont="1" applyBorder="1" applyAlignment="1">
      <alignment horizontal="center" vertical="center"/>
    </xf>
    <xf numFmtId="175" fontId="3" fillId="0" borderId="1" xfId="27" applyNumberFormat="1" applyFont="1" applyBorder="1" applyAlignment="1">
      <alignment horizontal="center"/>
    </xf>
    <xf numFmtId="0" fontId="5" fillId="0" borderId="2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5" fillId="0" borderId="59" xfId="0" applyFont="1" applyBorder="1" applyAlignment="1">
      <alignment horizontal="center"/>
    </xf>
    <xf numFmtId="0" fontId="55" fillId="0" borderId="61" xfId="0" applyFont="1" applyBorder="1" applyAlignment="1">
      <alignment horizontal="center"/>
    </xf>
    <xf numFmtId="172" fontId="5" fillId="0" borderId="62" xfId="0" applyNumberFormat="1" applyFont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 wrapText="1"/>
    </xf>
    <xf numFmtId="172" fontId="5" fillId="0" borderId="37" xfId="0" applyNumberFormat="1" applyFont="1" applyBorder="1" applyAlignment="1">
      <alignment horizontal="center" vertical="center" wrapText="1"/>
    </xf>
    <xf numFmtId="172" fontId="7" fillId="0" borderId="59" xfId="0" applyNumberFormat="1" applyFont="1" applyBorder="1" applyAlignment="1">
      <alignment horizontal="center" vertical="center" wrapText="1"/>
    </xf>
    <xf numFmtId="172" fontId="7" fillId="0" borderId="31" xfId="0" applyNumberFormat="1" applyFont="1" applyBorder="1" applyAlignment="1">
      <alignment horizontal="center" vertical="center" wrapText="1"/>
    </xf>
    <xf numFmtId="172" fontId="7" fillId="0" borderId="34" xfId="0" applyNumberFormat="1" applyFont="1" applyBorder="1" applyAlignment="1">
      <alignment horizontal="center" vertical="center" wrapText="1"/>
    </xf>
    <xf numFmtId="172" fontId="4" fillId="0" borderId="61" xfId="0" applyNumberFormat="1" applyFont="1" applyBorder="1" applyAlignment="1">
      <alignment horizontal="center" vertical="center" wrapText="1"/>
    </xf>
    <xf numFmtId="172" fontId="4" fillId="0" borderId="30" xfId="0" applyNumberFormat="1" applyFont="1" applyBorder="1" applyAlignment="1">
      <alignment horizontal="center" vertical="center" wrapText="1"/>
    </xf>
    <xf numFmtId="172" fontId="4" fillId="0" borderId="35" xfId="0" applyNumberFormat="1" applyFont="1" applyBorder="1" applyAlignment="1">
      <alignment horizontal="center" vertical="center" wrapText="1"/>
    </xf>
    <xf numFmtId="49" fontId="5" fillId="0" borderId="65" xfId="0" applyNumberFormat="1" applyFont="1" applyBorder="1" applyAlignment="1">
      <alignment horizontal="center" vertical="center" wrapText="1"/>
    </xf>
    <xf numFmtId="49" fontId="5" fillId="0" borderId="58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172" fontId="5" fillId="0" borderId="21" xfId="0" applyNumberFormat="1" applyFont="1" applyBorder="1" applyAlignment="1">
      <alignment horizontal="center" vertical="center" wrapText="1"/>
    </xf>
    <xf numFmtId="172" fontId="5" fillId="0" borderId="24" xfId="0" applyNumberFormat="1" applyFont="1" applyBorder="1" applyAlignment="1">
      <alignment horizontal="center" vertical="center" wrapText="1"/>
    </xf>
    <xf numFmtId="172" fontId="5" fillId="0" borderId="45" xfId="0" applyNumberFormat="1" applyFont="1" applyBorder="1" applyAlignment="1">
      <alignment horizontal="center" vertical="center" wrapText="1"/>
    </xf>
    <xf numFmtId="172" fontId="5" fillId="0" borderId="70" xfId="0" applyNumberFormat="1" applyFont="1" applyBorder="1" applyAlignment="1">
      <alignment horizontal="center" vertical="center" wrapText="1"/>
    </xf>
    <xf numFmtId="172" fontId="5" fillId="0" borderId="32" xfId="0" applyNumberFormat="1" applyFont="1" applyBorder="1" applyAlignment="1">
      <alignment horizontal="center" vertical="center" wrapText="1"/>
    </xf>
    <xf numFmtId="172" fontId="5" fillId="0" borderId="36" xfId="0" applyNumberFormat="1" applyFont="1" applyBorder="1" applyAlignment="1">
      <alignment horizontal="center" vertical="center" wrapText="1"/>
    </xf>
    <xf numFmtId="172" fontId="44" fillId="0" borderId="21" xfId="0" applyNumberFormat="1" applyFont="1" applyBorder="1" applyAlignment="1">
      <alignment horizontal="center" vertical="center" wrapText="1"/>
    </xf>
    <xf numFmtId="172" fontId="44" fillId="0" borderId="24" xfId="0" applyNumberFormat="1" applyFont="1" applyBorder="1" applyAlignment="1">
      <alignment horizontal="center" vertical="center" wrapText="1"/>
    </xf>
    <xf numFmtId="172" fontId="44" fillId="0" borderId="4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6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6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22" xfId="21" applyFont="1" applyBorder="1" applyAlignment="1">
      <alignment horizontal="center" vertical="center"/>
      <protection/>
    </xf>
    <xf numFmtId="0" fontId="3" fillId="0" borderId="17" xfId="21" applyFont="1" applyBorder="1" applyAlignment="1">
      <alignment horizontal="center" vertical="center"/>
      <protection/>
    </xf>
    <xf numFmtId="0" fontId="3" fillId="0" borderId="53" xfId="21" applyFont="1" applyBorder="1" applyAlignment="1">
      <alignment horizontal="center" vertical="center"/>
      <protection/>
    </xf>
    <xf numFmtId="0" fontId="3" fillId="0" borderId="0" xfId="21" applyFont="1" applyAlignment="1">
      <alignment horizontal="right" wrapText="1"/>
      <protection/>
    </xf>
    <xf numFmtId="0" fontId="4" fillId="0" borderId="0" xfId="21" applyFont="1" applyAlignment="1">
      <alignment horizontal="center" wrapText="1"/>
      <protection/>
    </xf>
    <xf numFmtId="0" fontId="4" fillId="0" borderId="4" xfId="21" applyFont="1" applyBorder="1" applyAlignment="1">
      <alignment horizontal="center" vertical="top"/>
      <protection/>
    </xf>
    <xf numFmtId="0" fontId="4" fillId="0" borderId="65" xfId="21" applyFont="1" applyBorder="1" applyAlignment="1">
      <alignment horizontal="center" vertical="center"/>
      <protection/>
    </xf>
    <xf numFmtId="0" fontId="4" fillId="0" borderId="58" xfId="21" applyFont="1" applyBorder="1" applyAlignment="1">
      <alignment horizontal="center" vertical="center"/>
      <protection/>
    </xf>
    <xf numFmtId="0" fontId="4" fillId="0" borderId="40" xfId="21" applyFont="1" applyBorder="1" applyAlignment="1">
      <alignment horizontal="center" vertical="center"/>
      <protection/>
    </xf>
    <xf numFmtId="0" fontId="4" fillId="0" borderId="82" xfId="21" applyFont="1" applyBorder="1" applyAlignment="1">
      <alignment horizontal="center" vertical="center"/>
      <protection/>
    </xf>
    <xf numFmtId="0" fontId="4" fillId="0" borderId="66" xfId="21" applyFont="1" applyBorder="1" applyAlignment="1">
      <alignment horizontal="center" vertical="center"/>
      <protection/>
    </xf>
    <xf numFmtId="0" fontId="4" fillId="0" borderId="55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center" vertical="center"/>
      <protection/>
    </xf>
    <xf numFmtId="0" fontId="4" fillId="0" borderId="35" xfId="21" applyFont="1" applyBorder="1" applyAlignment="1">
      <alignment horizontal="center" vertical="center"/>
      <protection/>
    </xf>
    <xf numFmtId="0" fontId="4" fillId="0" borderId="62" xfId="21" applyFont="1" applyBorder="1" applyAlignment="1">
      <alignment horizontal="center" vertical="center" wrapText="1"/>
      <protection/>
    </xf>
    <xf numFmtId="0" fontId="4" fillId="0" borderId="14" xfId="21" applyFont="1" applyBorder="1" applyAlignment="1">
      <alignment horizontal="center" vertical="center" wrapText="1"/>
      <protection/>
    </xf>
    <xf numFmtId="0" fontId="4" fillId="0" borderId="37" xfId="21" applyFont="1" applyBorder="1" applyAlignment="1">
      <alignment horizontal="center" vertical="center" wrapText="1"/>
      <protection/>
    </xf>
    <xf numFmtId="0" fontId="33" fillId="0" borderId="61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2" borderId="29" xfId="0" applyFont="1" applyFill="1" applyBorder="1" applyAlignment="1">
      <alignment horizontal="center" vertical="center" wrapText="1"/>
    </xf>
    <xf numFmtId="0" fontId="41" fillId="2" borderId="52" xfId="0" applyFont="1" applyFill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 3" xfId="20"/>
    <cellStyle name="Обычный_мусоропроводы" xfId="21"/>
    <cellStyle name="Обычный 2 2" xfId="22"/>
    <cellStyle name="Обычный 3" xfId="23"/>
    <cellStyle name="Финансовый 2" xfId="24"/>
    <cellStyle name="Обычный 2 3 2" xfId="25"/>
    <cellStyle name="Обычный 2 3 2 4" xfId="26"/>
    <cellStyle name="Финансовый" xfId="27"/>
    <cellStyle name="Обычный 2 2 2" xfId="28"/>
    <cellStyle name="Обычный 2 3 2 4 2" xfId="29"/>
    <cellStyle name="Финансовый 2 2" xfId="30"/>
    <cellStyle name="Обычный 2 3 2 4 2 2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699890613556"/>
    <pageSetUpPr fitToPage="1"/>
  </sheetPr>
  <dimension ref="A2:W162"/>
  <sheetViews>
    <sheetView zoomScale="110" zoomScaleNormal="110" workbookViewId="0" topLeftCell="A1">
      <selection activeCell="I156" sqref="I156:I160"/>
    </sheetView>
  </sheetViews>
  <sheetFormatPr defaultColWidth="9.00390625" defaultRowHeight="12.75"/>
  <cols>
    <col min="1" max="1" width="4.125" style="0" customWidth="1"/>
    <col min="2" max="2" width="43.625" style="0" customWidth="1"/>
    <col min="4" max="4" width="14.875" style="0" customWidth="1"/>
    <col min="5" max="5" width="6.625" style="0" customWidth="1"/>
    <col min="6" max="6" width="6.00390625" style="0" customWidth="1"/>
    <col min="7" max="7" width="7.25390625" style="0" customWidth="1"/>
    <col min="8" max="8" width="13.375" style="0" customWidth="1"/>
    <col min="9" max="9" width="13.00390625" style="0" customWidth="1"/>
    <col min="10" max="10" width="13.375" style="0" customWidth="1"/>
    <col min="11" max="11" width="6.125" style="0" customWidth="1"/>
    <col min="12" max="12" width="5.625" style="0" customWidth="1"/>
    <col min="13" max="13" width="7.00390625" style="0" customWidth="1"/>
    <col min="14" max="14" width="7.25390625" style="0" customWidth="1"/>
    <col min="15" max="15" width="8.00390625" style="0" customWidth="1"/>
    <col min="16" max="16" width="7.875" style="0" customWidth="1"/>
    <col min="17" max="17" width="7.00390625" style="0" customWidth="1"/>
    <col min="18" max="18" width="6.75390625" style="0" customWidth="1"/>
    <col min="19" max="20" width="7.00390625" style="0" customWidth="1"/>
    <col min="21" max="21" width="9.125" style="0" customWidth="1"/>
    <col min="22" max="22" width="14.625" style="0" hidden="1" customWidth="1"/>
    <col min="23" max="23" width="15.00390625" style="0" hidden="1" customWidth="1"/>
    <col min="24" max="24" width="9.125" style="0" hidden="1" customWidth="1"/>
  </cols>
  <sheetData>
    <row r="1" ht="6.75" customHeight="1"/>
    <row r="2" spans="1:20" ht="15.75">
      <c r="A2" s="1045"/>
      <c r="B2" s="1045" t="s">
        <v>724</v>
      </c>
      <c r="C2" s="1046"/>
      <c r="D2" s="1047"/>
      <c r="E2" s="1047"/>
      <c r="F2" s="1048"/>
      <c r="G2" s="1048"/>
      <c r="H2" s="1048"/>
      <c r="I2" s="1048"/>
      <c r="J2" s="1048"/>
      <c r="K2" s="1047"/>
      <c r="L2" s="1048"/>
      <c r="M2" s="1049"/>
      <c r="N2" s="1050"/>
      <c r="O2" s="1046"/>
      <c r="P2" s="1046"/>
      <c r="Q2" s="1046"/>
      <c r="R2" s="1046"/>
      <c r="S2" s="1046"/>
      <c r="T2" s="1050" t="s">
        <v>40</v>
      </c>
    </row>
    <row r="3" spans="1:20" ht="15.75">
      <c r="A3" s="333"/>
      <c r="B3" s="1045" t="s">
        <v>725</v>
      </c>
      <c r="C3" s="1046"/>
      <c r="D3" s="1047"/>
      <c r="E3" s="1047"/>
      <c r="F3" s="1048"/>
      <c r="G3" s="1051"/>
      <c r="H3" s="1051"/>
      <c r="I3" s="1051"/>
      <c r="J3" s="1051"/>
      <c r="K3" s="1047"/>
      <c r="L3" s="1048"/>
      <c r="M3" s="1049"/>
      <c r="N3" s="1050"/>
      <c r="O3" s="1046"/>
      <c r="P3" s="1046"/>
      <c r="Q3" s="1046"/>
      <c r="R3" s="1046"/>
      <c r="S3" s="1046"/>
      <c r="T3" s="1050" t="s">
        <v>726</v>
      </c>
    </row>
    <row r="4" spans="1:20" ht="15.75">
      <c r="A4" s="333"/>
      <c r="B4" s="1045" t="s">
        <v>727</v>
      </c>
      <c r="C4" s="1046"/>
      <c r="D4" s="1047"/>
      <c r="E4" s="1047"/>
      <c r="F4" s="1048"/>
      <c r="G4" s="1048"/>
      <c r="H4" s="1048"/>
      <c r="I4" s="1052"/>
      <c r="J4" s="1052"/>
      <c r="K4" s="1053"/>
      <c r="L4" s="1048"/>
      <c r="M4" s="1049"/>
      <c r="N4" s="1050"/>
      <c r="O4" s="1046"/>
      <c r="P4" s="1046"/>
      <c r="Q4" s="1046"/>
      <c r="R4" s="1046"/>
      <c r="S4" s="1046"/>
      <c r="T4" s="1050" t="s">
        <v>728</v>
      </c>
    </row>
    <row r="5" spans="1:20" ht="15.75">
      <c r="A5" s="333"/>
      <c r="B5" s="1045" t="s">
        <v>729</v>
      </c>
      <c r="C5" s="1046"/>
      <c r="D5" s="1047"/>
      <c r="E5" s="1047"/>
      <c r="F5" s="1048"/>
      <c r="G5" s="1048"/>
      <c r="H5" s="1048"/>
      <c r="I5" s="1054"/>
      <c r="J5" s="1055"/>
      <c r="K5" s="1053"/>
      <c r="L5" s="1048"/>
      <c r="M5" s="1049"/>
      <c r="N5" s="1050"/>
      <c r="O5" s="1046"/>
      <c r="P5" s="1046"/>
      <c r="Q5" s="1046"/>
      <c r="R5" s="1046"/>
      <c r="S5" s="1046"/>
      <c r="T5" s="1050" t="s">
        <v>730</v>
      </c>
    </row>
    <row r="6" spans="1:20" ht="15.75">
      <c r="A6" s="333"/>
      <c r="B6" s="1044" t="s">
        <v>731</v>
      </c>
      <c r="C6" s="1046"/>
      <c r="D6" s="1047"/>
      <c r="E6" s="1047"/>
      <c r="F6" s="1048"/>
      <c r="G6" s="1048"/>
      <c r="H6" s="1048"/>
      <c r="I6" s="1056"/>
      <c r="J6" s="1057"/>
      <c r="K6" s="1053"/>
      <c r="L6" s="1048"/>
      <c r="M6" s="333"/>
      <c r="N6" s="1050"/>
      <c r="O6" s="1046"/>
      <c r="P6" s="1046"/>
      <c r="Q6" s="1046"/>
      <c r="R6" s="1046"/>
      <c r="S6" s="1046"/>
      <c r="T6" s="1050" t="s">
        <v>732</v>
      </c>
    </row>
    <row r="7" spans="1:20" ht="17.25" customHeight="1">
      <c r="A7" s="333"/>
      <c r="B7" s="1046"/>
      <c r="C7" s="1046"/>
      <c r="D7" s="1047"/>
      <c r="E7" s="1047"/>
      <c r="F7" s="1048"/>
      <c r="G7" s="1048"/>
      <c r="H7" s="1048"/>
      <c r="I7" s="1055"/>
      <c r="J7" s="1058"/>
      <c r="K7" s="1053"/>
      <c r="L7" s="1048"/>
      <c r="M7" s="1049"/>
      <c r="N7" s="1050"/>
      <c r="O7" s="1047"/>
      <c r="P7" s="1048"/>
      <c r="Q7" s="1047"/>
      <c r="R7" s="1047"/>
      <c r="S7" s="1047"/>
      <c r="T7" s="1050" t="s">
        <v>733</v>
      </c>
    </row>
    <row r="8" spans="1:20" ht="19.5" thickBot="1">
      <c r="A8" s="1059" t="s">
        <v>734</v>
      </c>
      <c r="B8" s="1060"/>
      <c r="C8" s="1060"/>
      <c r="D8" s="1060"/>
      <c r="E8" s="1060"/>
      <c r="F8" s="1060"/>
      <c r="G8" s="1060"/>
      <c r="H8" s="1060"/>
      <c r="I8" s="1060"/>
      <c r="J8" s="1061"/>
      <c r="K8" s="1060"/>
      <c r="L8" s="1060"/>
      <c r="M8" s="1060"/>
      <c r="N8" s="1060"/>
      <c r="O8" s="1060"/>
      <c r="P8" s="1060"/>
      <c r="Q8" s="1046"/>
      <c r="R8" s="1046" t="s">
        <v>910</v>
      </c>
      <c r="S8" s="1046"/>
      <c r="T8" s="1046"/>
    </row>
    <row r="9" spans="1:23" ht="17.25" customHeight="1" thickBot="1">
      <c r="A9" s="1781" t="s">
        <v>735</v>
      </c>
      <c r="B9" s="1846" t="s">
        <v>736</v>
      </c>
      <c r="C9" s="1848" t="s">
        <v>737</v>
      </c>
      <c r="D9" s="1850" t="s">
        <v>738</v>
      </c>
      <c r="E9" s="1852" t="s">
        <v>739</v>
      </c>
      <c r="F9" s="1853"/>
      <c r="G9" s="1853"/>
      <c r="H9" s="1853"/>
      <c r="I9" s="1853"/>
      <c r="J9" s="1853"/>
      <c r="K9" s="1853"/>
      <c r="L9" s="1853"/>
      <c r="M9" s="1854"/>
      <c r="N9" s="1855" t="s">
        <v>740</v>
      </c>
      <c r="O9" s="1856"/>
      <c r="P9" s="1857"/>
      <c r="Q9" s="1833" t="s">
        <v>741</v>
      </c>
      <c r="R9" s="1833"/>
      <c r="S9" s="1835" t="s">
        <v>742</v>
      </c>
      <c r="T9" s="1836"/>
      <c r="V9" s="1839" t="s">
        <v>743</v>
      </c>
      <c r="W9" s="1839" t="s">
        <v>744</v>
      </c>
    </row>
    <row r="10" spans="1:23" ht="59.25" customHeight="1" thickBot="1">
      <c r="A10" s="1773"/>
      <c r="B10" s="1847"/>
      <c r="C10" s="1849"/>
      <c r="D10" s="1851"/>
      <c r="E10" s="1840" t="s">
        <v>745</v>
      </c>
      <c r="F10" s="1841"/>
      <c r="G10" s="1842"/>
      <c r="H10" s="1843" t="s">
        <v>746</v>
      </c>
      <c r="I10" s="1844"/>
      <c r="J10" s="1844"/>
      <c r="K10" s="1843" t="s">
        <v>747</v>
      </c>
      <c r="L10" s="1844"/>
      <c r="M10" s="1845"/>
      <c r="N10" s="1858"/>
      <c r="O10" s="1859"/>
      <c r="P10" s="1860"/>
      <c r="Q10" s="1834"/>
      <c r="R10" s="1834"/>
      <c r="S10" s="1837"/>
      <c r="T10" s="1838"/>
      <c r="V10" s="1839"/>
      <c r="W10" s="1839"/>
    </row>
    <row r="11" spans="1:23" ht="15.75" customHeight="1" thickBot="1">
      <c r="A11" s="1773"/>
      <c r="B11" s="1847"/>
      <c r="C11" s="1849"/>
      <c r="D11" s="1851"/>
      <c r="E11" s="1062" t="s">
        <v>748</v>
      </c>
      <c r="F11" s="1063" t="s">
        <v>749</v>
      </c>
      <c r="G11" s="1063" t="s">
        <v>750</v>
      </c>
      <c r="H11" s="1064" t="s">
        <v>748</v>
      </c>
      <c r="I11" s="1063" t="s">
        <v>749</v>
      </c>
      <c r="J11" s="1065" t="s">
        <v>750</v>
      </c>
      <c r="K11" s="1062" t="s">
        <v>748</v>
      </c>
      <c r="L11" s="1063" t="s">
        <v>749</v>
      </c>
      <c r="M11" s="1063" t="s">
        <v>750</v>
      </c>
      <c r="N11" s="1062" t="s">
        <v>125</v>
      </c>
      <c r="O11" s="1063" t="s">
        <v>749</v>
      </c>
      <c r="P11" s="1063" t="s">
        <v>750</v>
      </c>
      <c r="Q11" s="1066" t="s">
        <v>125</v>
      </c>
      <c r="R11" s="1067" t="s">
        <v>751</v>
      </c>
      <c r="S11" s="1062" t="s">
        <v>125</v>
      </c>
      <c r="T11" s="1065" t="s">
        <v>751</v>
      </c>
      <c r="V11" s="1839"/>
      <c r="W11" s="1839"/>
    </row>
    <row r="12" spans="1:23" ht="15" thickBot="1">
      <c r="A12" s="1068" t="s">
        <v>752</v>
      </c>
      <c r="B12" s="1069" t="s">
        <v>753</v>
      </c>
      <c r="C12" s="1070" t="s">
        <v>24</v>
      </c>
      <c r="D12" s="1071">
        <f>H12</f>
        <v>28504.541416666667</v>
      </c>
      <c r="E12" s="1072"/>
      <c r="F12" s="1073"/>
      <c r="G12" s="1074"/>
      <c r="H12" s="1075">
        <f>I12+J12</f>
        <v>28504.541416666667</v>
      </c>
      <c r="I12" s="1076">
        <f>I15+I22+I33+I35+I38+I40+I42+I44+I46+I48+I50+I52+I54+I56+I58+I60+I62+I64+I66+I68+I70</f>
        <v>0</v>
      </c>
      <c r="J12" s="1077">
        <f>J15+J22+J33+J35+J38+J40+J42+J44+J46+J48+J50+J52+J54+J56+J58+J60+J62+J64+J66+J68+J70</f>
        <v>28504.541416666667</v>
      </c>
      <c r="K12" s="1078"/>
      <c r="L12" s="1079"/>
      <c r="M12" s="1080"/>
      <c r="N12" s="1078"/>
      <c r="O12" s="1079"/>
      <c r="P12" s="1080"/>
      <c r="Q12" s="1081"/>
      <c r="R12" s="1082"/>
      <c r="S12" s="1078"/>
      <c r="T12" s="1080"/>
      <c r="V12" s="1083">
        <v>21435.076231999996</v>
      </c>
      <c r="W12" s="1084">
        <v>29041.41143</v>
      </c>
    </row>
    <row r="13" spans="1:23" ht="14.25">
      <c r="A13" s="1828">
        <v>1</v>
      </c>
      <c r="B13" s="1085" t="s">
        <v>754</v>
      </c>
      <c r="C13" s="1086" t="s">
        <v>755</v>
      </c>
      <c r="D13" s="1087">
        <f>H13</f>
        <v>41</v>
      </c>
      <c r="E13" s="1088"/>
      <c r="F13" s="1089"/>
      <c r="G13" s="1090"/>
      <c r="H13" s="1091">
        <f aca="true" t="shared" si="0" ref="H13:H19">I13+J13</f>
        <v>41</v>
      </c>
      <c r="I13" s="1092">
        <v>0</v>
      </c>
      <c r="J13" s="1093">
        <v>41</v>
      </c>
      <c r="K13" s="1094"/>
      <c r="L13" s="1095"/>
      <c r="M13" s="1096"/>
      <c r="N13" s="1094"/>
      <c r="O13" s="1095"/>
      <c r="P13" s="1096"/>
      <c r="Q13" s="1097"/>
      <c r="R13" s="1098"/>
      <c r="S13" s="1094"/>
      <c r="T13" s="1096"/>
      <c r="V13" s="1099">
        <v>54</v>
      </c>
      <c r="W13" s="1100">
        <v>74</v>
      </c>
    </row>
    <row r="14" spans="1:23" ht="14.25">
      <c r="A14" s="1828"/>
      <c r="B14" s="1101"/>
      <c r="C14" s="1102" t="s">
        <v>756</v>
      </c>
      <c r="D14" s="1103">
        <f>H14</f>
        <v>0.663</v>
      </c>
      <c r="E14" s="1104"/>
      <c r="F14" s="1105"/>
      <c r="G14" s="1106"/>
      <c r="H14" s="1107">
        <f t="shared" si="0"/>
        <v>0.663</v>
      </c>
      <c r="I14" s="1108">
        <f>I16+I18</f>
        <v>0</v>
      </c>
      <c r="J14" s="1109">
        <f>J16+J18</f>
        <v>0.663</v>
      </c>
      <c r="K14" s="1110"/>
      <c r="L14" s="1111"/>
      <c r="M14" s="1112"/>
      <c r="N14" s="1110"/>
      <c r="O14" s="1111"/>
      <c r="P14" s="1112"/>
      <c r="Q14" s="1113"/>
      <c r="R14" s="1114"/>
      <c r="S14" s="1110"/>
      <c r="T14" s="1112"/>
      <c r="V14" s="1115">
        <v>1.177</v>
      </c>
      <c r="W14" s="1116">
        <v>2.3209999999999997</v>
      </c>
    </row>
    <row r="15" spans="1:23" ht="14.25">
      <c r="A15" s="1829"/>
      <c r="B15" s="1117" t="s">
        <v>757</v>
      </c>
      <c r="C15" s="1102" t="s">
        <v>24</v>
      </c>
      <c r="D15" s="1103">
        <f>H15</f>
        <v>639.543</v>
      </c>
      <c r="E15" s="1104"/>
      <c r="F15" s="1105"/>
      <c r="G15" s="1106"/>
      <c r="H15" s="1107">
        <f>I15+J15</f>
        <v>639.543</v>
      </c>
      <c r="I15" s="1108">
        <f>I17+I19+I20</f>
        <v>0</v>
      </c>
      <c r="J15" s="1109">
        <f>J17+J19+J20</f>
        <v>639.543</v>
      </c>
      <c r="K15" s="1110"/>
      <c r="L15" s="1111"/>
      <c r="M15" s="1112"/>
      <c r="N15" s="1110"/>
      <c r="O15" s="1111"/>
      <c r="P15" s="1112"/>
      <c r="Q15" s="1113"/>
      <c r="R15" s="1114"/>
      <c r="S15" s="1110"/>
      <c r="T15" s="1112"/>
      <c r="V15" s="1115">
        <v>704.39</v>
      </c>
      <c r="W15" s="1116">
        <v>1605.1659</v>
      </c>
    </row>
    <row r="16" spans="1:23" ht="14.25">
      <c r="A16" s="1798" t="s">
        <v>758</v>
      </c>
      <c r="B16" s="1800" t="s">
        <v>759</v>
      </c>
      <c r="C16" s="1118" t="s">
        <v>756</v>
      </c>
      <c r="D16" s="1119">
        <f aca="true" t="shared" si="1" ref="D16:D79">H16</f>
        <v>0.323</v>
      </c>
      <c r="E16" s="1120"/>
      <c r="F16" s="1121"/>
      <c r="G16" s="1122"/>
      <c r="H16" s="1123">
        <f t="shared" si="0"/>
        <v>0.323</v>
      </c>
      <c r="I16" s="1124">
        <v>0</v>
      </c>
      <c r="J16" s="1125">
        <v>0.323</v>
      </c>
      <c r="K16" s="1126"/>
      <c r="L16" s="1127"/>
      <c r="M16" s="1128"/>
      <c r="N16" s="1129"/>
      <c r="O16" s="1130"/>
      <c r="P16" s="1128"/>
      <c r="Q16" s="1131"/>
      <c r="R16" s="1132"/>
      <c r="S16" s="1129"/>
      <c r="T16" s="1128"/>
      <c r="V16" s="1099">
        <v>0.32</v>
      </c>
      <c r="W16" s="1100">
        <v>0.983</v>
      </c>
    </row>
    <row r="17" spans="1:23" ht="14.25">
      <c r="A17" s="1798"/>
      <c r="B17" s="1800"/>
      <c r="C17" s="1118" t="s">
        <v>24</v>
      </c>
      <c r="D17" s="1119">
        <f t="shared" si="1"/>
        <v>238.829</v>
      </c>
      <c r="E17" s="1120"/>
      <c r="F17" s="1121"/>
      <c r="G17" s="1122"/>
      <c r="H17" s="1123">
        <f t="shared" si="0"/>
        <v>238.829</v>
      </c>
      <c r="I17" s="1124">
        <v>0</v>
      </c>
      <c r="J17" s="1125">
        <v>238.829</v>
      </c>
      <c r="K17" s="1126"/>
      <c r="L17" s="1127"/>
      <c r="M17" s="1128"/>
      <c r="N17" s="1129"/>
      <c r="O17" s="1130"/>
      <c r="P17" s="1128"/>
      <c r="Q17" s="1131"/>
      <c r="R17" s="1132"/>
      <c r="S17" s="1129"/>
      <c r="T17" s="1128"/>
      <c r="V17" s="1099">
        <v>50.199</v>
      </c>
      <c r="W17" s="1100">
        <v>651.15545</v>
      </c>
    </row>
    <row r="18" spans="1:23" ht="14.25">
      <c r="A18" s="1798" t="s">
        <v>760</v>
      </c>
      <c r="B18" s="1800" t="s">
        <v>761</v>
      </c>
      <c r="C18" s="1118" t="s">
        <v>756</v>
      </c>
      <c r="D18" s="1119">
        <f t="shared" si="1"/>
        <v>0.34</v>
      </c>
      <c r="E18" s="1120"/>
      <c r="F18" s="1121"/>
      <c r="G18" s="1122"/>
      <c r="H18" s="1123">
        <f t="shared" si="0"/>
        <v>0.34</v>
      </c>
      <c r="I18" s="1124">
        <v>0</v>
      </c>
      <c r="J18" s="1125">
        <v>0.34</v>
      </c>
      <c r="K18" s="1126"/>
      <c r="L18" s="1127"/>
      <c r="M18" s="1128"/>
      <c r="N18" s="1129"/>
      <c r="O18" s="1130"/>
      <c r="P18" s="1128"/>
      <c r="Q18" s="1131"/>
      <c r="R18" s="1132"/>
      <c r="S18" s="1129"/>
      <c r="T18" s="1128"/>
      <c r="V18" s="1099">
        <v>0.857</v>
      </c>
      <c r="W18" s="1100">
        <v>1.338</v>
      </c>
    </row>
    <row r="19" spans="1:23" ht="14.25">
      <c r="A19" s="1798"/>
      <c r="B19" s="1800"/>
      <c r="C19" s="1118" t="s">
        <v>24</v>
      </c>
      <c r="D19" s="1119">
        <f t="shared" si="1"/>
        <v>400.714</v>
      </c>
      <c r="E19" s="1120"/>
      <c r="F19" s="1121"/>
      <c r="G19" s="1122"/>
      <c r="H19" s="1123">
        <f t="shared" si="0"/>
        <v>400.714</v>
      </c>
      <c r="I19" s="1124">
        <v>0</v>
      </c>
      <c r="J19" s="1125">
        <v>400.714</v>
      </c>
      <c r="K19" s="1126"/>
      <c r="L19" s="1127"/>
      <c r="M19" s="1128"/>
      <c r="N19" s="1129"/>
      <c r="O19" s="1130"/>
      <c r="P19" s="1128"/>
      <c r="Q19" s="1131"/>
      <c r="R19" s="1132"/>
      <c r="S19" s="1129"/>
      <c r="T19" s="1128"/>
      <c r="V19" s="1099">
        <v>654.191</v>
      </c>
      <c r="W19" s="1100">
        <v>954.01045</v>
      </c>
    </row>
    <row r="20" spans="1:23" ht="16.5" customHeight="1" thickBot="1">
      <c r="A20" s="1133" t="s">
        <v>762</v>
      </c>
      <c r="B20" s="1134" t="s">
        <v>763</v>
      </c>
      <c r="C20" s="1135" t="s">
        <v>24</v>
      </c>
      <c r="D20" s="1136">
        <f t="shared" si="1"/>
        <v>0</v>
      </c>
      <c r="E20" s="1137"/>
      <c r="F20" s="1138"/>
      <c r="G20" s="1139"/>
      <c r="H20" s="1140">
        <f>I20+J20</f>
        <v>0</v>
      </c>
      <c r="I20" s="1092">
        <v>0</v>
      </c>
      <c r="J20" s="1141"/>
      <c r="K20" s="1142"/>
      <c r="L20" s="1143"/>
      <c r="M20" s="1144"/>
      <c r="N20" s="1145"/>
      <c r="O20" s="1146"/>
      <c r="P20" s="1144"/>
      <c r="Q20" s="1147"/>
      <c r="R20" s="1148"/>
      <c r="S20" s="1145"/>
      <c r="T20" s="1144"/>
      <c r="V20" s="1099">
        <v>0</v>
      </c>
      <c r="W20" s="1100">
        <v>0</v>
      </c>
    </row>
    <row r="21" spans="1:23" ht="15.75" customHeight="1">
      <c r="A21" s="1830" t="s">
        <v>764</v>
      </c>
      <c r="B21" s="1831" t="s">
        <v>765</v>
      </c>
      <c r="C21" s="1149" t="s">
        <v>755</v>
      </c>
      <c r="D21" s="1150">
        <f t="shared" si="1"/>
        <v>38</v>
      </c>
      <c r="E21" s="1151"/>
      <c r="F21" s="1152"/>
      <c r="G21" s="1153"/>
      <c r="H21" s="1154">
        <f aca="true" t="shared" si="2" ref="H21:H84">I21+J21</f>
        <v>38</v>
      </c>
      <c r="I21" s="1155">
        <v>0</v>
      </c>
      <c r="J21" s="1156">
        <v>38</v>
      </c>
      <c r="K21" s="1157"/>
      <c r="L21" s="1158"/>
      <c r="M21" s="1159"/>
      <c r="N21" s="1157"/>
      <c r="O21" s="1158"/>
      <c r="P21" s="1159"/>
      <c r="Q21" s="1160"/>
      <c r="R21" s="1161"/>
      <c r="S21" s="1157"/>
      <c r="T21" s="1159"/>
      <c r="V21" s="1115">
        <v>24</v>
      </c>
      <c r="W21" s="1116">
        <v>107</v>
      </c>
    </row>
    <row r="22" spans="1:23" ht="15" customHeight="1">
      <c r="A22" s="1826"/>
      <c r="B22" s="1832"/>
      <c r="C22" s="1162" t="s">
        <v>24</v>
      </c>
      <c r="D22" s="1103">
        <f t="shared" si="1"/>
        <v>2983.8630000000003</v>
      </c>
      <c r="E22" s="1104"/>
      <c r="F22" s="1105"/>
      <c r="G22" s="1106"/>
      <c r="H22" s="1163">
        <f t="shared" si="2"/>
        <v>2983.8630000000003</v>
      </c>
      <c r="I22" s="1164">
        <f>I24+I26+I28+I30+I31</f>
        <v>0</v>
      </c>
      <c r="J22" s="1165">
        <f>J24+J26+J28+J30+J31</f>
        <v>2983.8630000000003</v>
      </c>
      <c r="K22" s="1110"/>
      <c r="L22" s="1111"/>
      <c r="M22" s="1112"/>
      <c r="N22" s="1110"/>
      <c r="O22" s="1111"/>
      <c r="P22" s="1112"/>
      <c r="Q22" s="1113"/>
      <c r="R22" s="1114"/>
      <c r="S22" s="1110"/>
      <c r="T22" s="1112"/>
      <c r="V22" s="1115">
        <v>394.869</v>
      </c>
      <c r="W22" s="1116">
        <v>1692.196</v>
      </c>
    </row>
    <row r="23" spans="1:23" ht="15" customHeight="1">
      <c r="A23" s="1826" t="s">
        <v>766</v>
      </c>
      <c r="B23" s="1827" t="s">
        <v>767</v>
      </c>
      <c r="C23" s="1118" t="s">
        <v>768</v>
      </c>
      <c r="D23" s="1119">
        <f t="shared" si="1"/>
        <v>181.86</v>
      </c>
      <c r="E23" s="1120"/>
      <c r="F23" s="1121"/>
      <c r="G23" s="1122"/>
      <c r="H23" s="1166">
        <f t="shared" si="2"/>
        <v>181.86</v>
      </c>
      <c r="I23" s="1167">
        <v>0</v>
      </c>
      <c r="J23" s="1168">
        <v>181.86</v>
      </c>
      <c r="K23" s="1129"/>
      <c r="L23" s="1130"/>
      <c r="M23" s="1128"/>
      <c r="N23" s="1129"/>
      <c r="O23" s="1130"/>
      <c r="P23" s="1128"/>
      <c r="Q23" s="1169"/>
      <c r="R23" s="1132"/>
      <c r="S23" s="1129"/>
      <c r="T23" s="1128"/>
      <c r="V23" s="1099">
        <v>0</v>
      </c>
      <c r="W23" s="1100">
        <v>0</v>
      </c>
    </row>
    <row r="24" spans="1:23" ht="15" customHeight="1">
      <c r="A24" s="1826"/>
      <c r="B24" s="1827"/>
      <c r="C24" s="1118" t="s">
        <v>24</v>
      </c>
      <c r="D24" s="1119">
        <f t="shared" si="1"/>
        <v>1948.5</v>
      </c>
      <c r="E24" s="1120"/>
      <c r="F24" s="1121"/>
      <c r="G24" s="1122"/>
      <c r="H24" s="1170">
        <f t="shared" si="2"/>
        <v>1948.5</v>
      </c>
      <c r="I24" s="1124">
        <v>0</v>
      </c>
      <c r="J24" s="1168">
        <v>1948.5</v>
      </c>
      <c r="K24" s="1129"/>
      <c r="L24" s="1130"/>
      <c r="M24" s="1128"/>
      <c r="N24" s="1129"/>
      <c r="O24" s="1130"/>
      <c r="P24" s="1128"/>
      <c r="Q24" s="1169"/>
      <c r="R24" s="1132"/>
      <c r="S24" s="1129"/>
      <c r="T24" s="1128"/>
      <c r="V24" s="1099">
        <v>0</v>
      </c>
      <c r="W24" s="1100">
        <v>0</v>
      </c>
    </row>
    <row r="25" spans="1:23" ht="18.75" customHeight="1">
      <c r="A25" s="1826" t="s">
        <v>769</v>
      </c>
      <c r="B25" s="1827" t="s">
        <v>770</v>
      </c>
      <c r="C25" s="1118" t="s">
        <v>771</v>
      </c>
      <c r="D25" s="1119">
        <f t="shared" si="1"/>
        <v>1252</v>
      </c>
      <c r="E25" s="1120"/>
      <c r="F25" s="1121"/>
      <c r="G25" s="1122"/>
      <c r="H25" s="1170">
        <f t="shared" si="2"/>
        <v>1252</v>
      </c>
      <c r="I25" s="1124">
        <v>0</v>
      </c>
      <c r="J25" s="1168">
        <v>1252</v>
      </c>
      <c r="K25" s="1129"/>
      <c r="L25" s="1130"/>
      <c r="M25" s="1128"/>
      <c r="N25" s="1129"/>
      <c r="O25" s="1130"/>
      <c r="P25" s="1128"/>
      <c r="Q25" s="1169"/>
      <c r="R25" s="1132"/>
      <c r="S25" s="1129"/>
      <c r="T25" s="1128"/>
      <c r="V25" s="1099">
        <v>325</v>
      </c>
      <c r="W25" s="1100">
        <v>1675.5</v>
      </c>
    </row>
    <row r="26" spans="1:23" ht="18" customHeight="1">
      <c r="A26" s="1826"/>
      <c r="B26" s="1827"/>
      <c r="C26" s="1118" t="s">
        <v>24</v>
      </c>
      <c r="D26" s="1119">
        <f t="shared" si="1"/>
        <v>688.6</v>
      </c>
      <c r="E26" s="1120"/>
      <c r="F26" s="1121"/>
      <c r="G26" s="1122"/>
      <c r="H26" s="1170">
        <f t="shared" si="2"/>
        <v>688.6</v>
      </c>
      <c r="I26" s="1124">
        <v>0</v>
      </c>
      <c r="J26" s="1168">
        <f>J25*0.55</f>
        <v>688.6</v>
      </c>
      <c r="K26" s="1129"/>
      <c r="L26" s="1130"/>
      <c r="M26" s="1128"/>
      <c r="N26" s="1129"/>
      <c r="O26" s="1130"/>
      <c r="P26" s="1128"/>
      <c r="Q26" s="1169"/>
      <c r="R26" s="1132"/>
      <c r="S26" s="1129"/>
      <c r="T26" s="1128"/>
      <c r="V26" s="1099">
        <v>308.75</v>
      </c>
      <c r="W26" s="1100">
        <v>1463.914</v>
      </c>
    </row>
    <row r="27" spans="1:23" ht="15.75" customHeight="1">
      <c r="A27" s="1826" t="s">
        <v>772</v>
      </c>
      <c r="B27" s="1827" t="s">
        <v>195</v>
      </c>
      <c r="C27" s="1118" t="s">
        <v>771</v>
      </c>
      <c r="D27" s="1119">
        <f t="shared" si="1"/>
        <v>0</v>
      </c>
      <c r="E27" s="1120"/>
      <c r="F27" s="1121"/>
      <c r="G27" s="1122"/>
      <c r="H27" s="1170">
        <f t="shared" si="2"/>
        <v>0</v>
      </c>
      <c r="I27" s="1124">
        <v>0</v>
      </c>
      <c r="J27" s="1168">
        <v>0</v>
      </c>
      <c r="K27" s="1129"/>
      <c r="L27" s="1130"/>
      <c r="M27" s="1128"/>
      <c r="N27" s="1129"/>
      <c r="O27" s="1130"/>
      <c r="P27" s="1128"/>
      <c r="Q27" s="1169"/>
      <c r="R27" s="1132"/>
      <c r="S27" s="1129"/>
      <c r="T27" s="1128"/>
      <c r="V27" s="1099">
        <v>0</v>
      </c>
      <c r="W27" s="1100">
        <v>0</v>
      </c>
    </row>
    <row r="28" spans="1:23" ht="16.5" customHeight="1">
      <c r="A28" s="1826"/>
      <c r="B28" s="1827"/>
      <c r="C28" s="1118" t="s">
        <v>24</v>
      </c>
      <c r="D28" s="1119">
        <f t="shared" si="1"/>
        <v>0</v>
      </c>
      <c r="E28" s="1120"/>
      <c r="F28" s="1121"/>
      <c r="G28" s="1122"/>
      <c r="H28" s="1170">
        <f t="shared" si="2"/>
        <v>0</v>
      </c>
      <c r="I28" s="1124">
        <v>0</v>
      </c>
      <c r="J28" s="1168">
        <v>0</v>
      </c>
      <c r="K28" s="1129"/>
      <c r="L28" s="1130"/>
      <c r="M28" s="1128"/>
      <c r="N28" s="1129"/>
      <c r="O28" s="1130"/>
      <c r="P28" s="1128"/>
      <c r="Q28" s="1169"/>
      <c r="R28" s="1132"/>
      <c r="S28" s="1129"/>
      <c r="T28" s="1128"/>
      <c r="V28" s="1099">
        <v>0</v>
      </c>
      <c r="W28" s="1100">
        <v>0</v>
      </c>
    </row>
    <row r="29" spans="1:23" ht="13.5" customHeight="1">
      <c r="A29" s="1826" t="s">
        <v>773</v>
      </c>
      <c r="B29" s="1827" t="s">
        <v>774</v>
      </c>
      <c r="C29" s="1118" t="s">
        <v>145</v>
      </c>
      <c r="D29" s="1119">
        <f t="shared" si="1"/>
        <v>22</v>
      </c>
      <c r="E29" s="1120"/>
      <c r="F29" s="1121"/>
      <c r="G29" s="1122"/>
      <c r="H29" s="1170">
        <f t="shared" si="2"/>
        <v>22</v>
      </c>
      <c r="I29" s="1124">
        <v>0</v>
      </c>
      <c r="J29" s="1168">
        <v>22</v>
      </c>
      <c r="K29" s="1129"/>
      <c r="L29" s="1130"/>
      <c r="M29" s="1128"/>
      <c r="N29" s="1129"/>
      <c r="O29" s="1130"/>
      <c r="P29" s="1128"/>
      <c r="Q29" s="1169"/>
      <c r="R29" s="1132"/>
      <c r="S29" s="1129"/>
      <c r="T29" s="1128"/>
      <c r="V29" s="1099">
        <v>26</v>
      </c>
      <c r="W29" s="1100">
        <v>84</v>
      </c>
    </row>
    <row r="30" spans="1:23" ht="14.25">
      <c r="A30" s="1826"/>
      <c r="B30" s="1827"/>
      <c r="C30" s="1118" t="s">
        <v>24</v>
      </c>
      <c r="D30" s="1119">
        <f t="shared" si="1"/>
        <v>6.82</v>
      </c>
      <c r="E30" s="1120"/>
      <c r="F30" s="1121"/>
      <c r="G30" s="1122"/>
      <c r="H30" s="1170">
        <f t="shared" si="2"/>
        <v>6.82</v>
      </c>
      <c r="I30" s="1124">
        <v>0</v>
      </c>
      <c r="J30" s="1168">
        <v>6.82</v>
      </c>
      <c r="K30" s="1129"/>
      <c r="L30" s="1130"/>
      <c r="M30" s="1128"/>
      <c r="N30" s="1129"/>
      <c r="O30" s="1130"/>
      <c r="P30" s="1128"/>
      <c r="Q30" s="1169"/>
      <c r="R30" s="1132"/>
      <c r="S30" s="1129"/>
      <c r="T30" s="1128"/>
      <c r="V30" s="1099">
        <v>7.803</v>
      </c>
      <c r="W30" s="1100">
        <v>23.366</v>
      </c>
    </row>
    <row r="31" spans="1:23" ht="26.25" thickBot="1">
      <c r="A31" s="1171" t="s">
        <v>775</v>
      </c>
      <c r="B31" s="1172" t="s">
        <v>776</v>
      </c>
      <c r="C31" s="1173" t="s">
        <v>24</v>
      </c>
      <c r="D31" s="1174">
        <f t="shared" si="1"/>
        <v>339.943</v>
      </c>
      <c r="E31" s="1175"/>
      <c r="F31" s="1176"/>
      <c r="G31" s="1177"/>
      <c r="H31" s="1178">
        <f t="shared" si="2"/>
        <v>339.943</v>
      </c>
      <c r="I31" s="1179">
        <v>0</v>
      </c>
      <c r="J31" s="1180">
        <v>339.943</v>
      </c>
      <c r="K31" s="1181"/>
      <c r="L31" s="1182"/>
      <c r="M31" s="1183"/>
      <c r="N31" s="1181"/>
      <c r="O31" s="1182"/>
      <c r="P31" s="1183"/>
      <c r="Q31" s="1184"/>
      <c r="R31" s="1185"/>
      <c r="S31" s="1181"/>
      <c r="T31" s="1183"/>
      <c r="V31" s="1099">
        <v>78.316</v>
      </c>
      <c r="W31" s="1100">
        <v>204.916</v>
      </c>
    </row>
    <row r="32" spans="1:23" ht="14.25">
      <c r="A32" s="1802" t="s">
        <v>777</v>
      </c>
      <c r="B32" s="1820" t="s">
        <v>778</v>
      </c>
      <c r="C32" s="1186" t="s">
        <v>779</v>
      </c>
      <c r="D32" s="1187">
        <f t="shared" si="1"/>
        <v>4.105</v>
      </c>
      <c r="E32" s="1188"/>
      <c r="F32" s="1189"/>
      <c r="G32" s="1190"/>
      <c r="H32" s="1191">
        <f t="shared" si="2"/>
        <v>4.105</v>
      </c>
      <c r="I32" s="1192">
        <v>0</v>
      </c>
      <c r="J32" s="1193">
        <v>4.105</v>
      </c>
      <c r="K32" s="1194"/>
      <c r="L32" s="1195"/>
      <c r="M32" s="1196"/>
      <c r="N32" s="1197"/>
      <c r="O32" s="1198"/>
      <c r="P32" s="1196"/>
      <c r="Q32" s="1199"/>
      <c r="R32" s="1200"/>
      <c r="S32" s="1197"/>
      <c r="T32" s="1196"/>
      <c r="V32" s="1099">
        <v>3049</v>
      </c>
      <c r="W32" s="1100">
        <v>8.339</v>
      </c>
    </row>
    <row r="33" spans="1:23" ht="15" thickBot="1">
      <c r="A33" s="1803"/>
      <c r="B33" s="1821"/>
      <c r="C33" s="1135" t="s">
        <v>24</v>
      </c>
      <c r="D33" s="1201">
        <f t="shared" si="1"/>
        <v>2200.28</v>
      </c>
      <c r="E33" s="1202"/>
      <c r="F33" s="1203"/>
      <c r="G33" s="1204"/>
      <c r="H33" s="1205">
        <f t="shared" si="2"/>
        <v>2200.28</v>
      </c>
      <c r="I33" s="1206">
        <v>0</v>
      </c>
      <c r="J33" s="1207">
        <f>J32*536</f>
        <v>2200.28</v>
      </c>
      <c r="K33" s="1208"/>
      <c r="L33" s="1209"/>
      <c r="M33" s="1210"/>
      <c r="N33" s="1211"/>
      <c r="O33" s="1212"/>
      <c r="P33" s="1210"/>
      <c r="Q33" s="1213"/>
      <c r="R33" s="1214"/>
      <c r="S33" s="1211"/>
      <c r="T33" s="1210"/>
      <c r="V33" s="1099">
        <v>1219.6</v>
      </c>
      <c r="W33" s="1100">
        <v>2432.261</v>
      </c>
    </row>
    <row r="34" spans="1:23" ht="14.25">
      <c r="A34" s="1806" t="s">
        <v>780</v>
      </c>
      <c r="B34" s="1823" t="s">
        <v>781</v>
      </c>
      <c r="C34" s="1186" t="s">
        <v>756</v>
      </c>
      <c r="D34" s="1187">
        <f t="shared" si="1"/>
        <v>4.956</v>
      </c>
      <c r="E34" s="1188"/>
      <c r="F34" s="1215"/>
      <c r="G34" s="1216"/>
      <c r="H34" s="1217">
        <f t="shared" si="2"/>
        <v>4.956</v>
      </c>
      <c r="I34" s="1167">
        <v>0</v>
      </c>
      <c r="J34" s="1218">
        <v>4.956</v>
      </c>
      <c r="K34" s="1219"/>
      <c r="L34" s="1220"/>
      <c r="M34" s="1221"/>
      <c r="N34" s="1222"/>
      <c r="O34" s="1223"/>
      <c r="P34" s="1221"/>
      <c r="Q34" s="1224"/>
      <c r="R34" s="1225"/>
      <c r="S34" s="1222"/>
      <c r="T34" s="1221"/>
      <c r="V34" s="1099">
        <v>2.155</v>
      </c>
      <c r="W34" s="1100">
        <v>5.233</v>
      </c>
    </row>
    <row r="35" spans="1:23" ht="15" thickBot="1">
      <c r="A35" s="1799"/>
      <c r="B35" s="1824"/>
      <c r="C35" s="1135" t="s">
        <v>24</v>
      </c>
      <c r="D35" s="1136">
        <f t="shared" si="1"/>
        <v>1646.545</v>
      </c>
      <c r="E35" s="1202"/>
      <c r="F35" s="1226"/>
      <c r="G35" s="1227"/>
      <c r="H35" s="1228">
        <f t="shared" si="2"/>
        <v>1646.545</v>
      </c>
      <c r="I35" s="1229">
        <v>0</v>
      </c>
      <c r="J35" s="1230">
        <v>1646.545</v>
      </c>
      <c r="K35" s="1231"/>
      <c r="L35" s="1232"/>
      <c r="M35" s="1183"/>
      <c r="N35" s="1181"/>
      <c r="O35" s="1182"/>
      <c r="P35" s="1183"/>
      <c r="Q35" s="1233"/>
      <c r="R35" s="1185"/>
      <c r="S35" s="1181"/>
      <c r="T35" s="1183"/>
      <c r="V35" s="1099">
        <v>1778.738</v>
      </c>
      <c r="W35" s="1100">
        <v>2601.098</v>
      </c>
    </row>
    <row r="36" spans="1:23" ht="14.25">
      <c r="A36" s="1802" t="s">
        <v>782</v>
      </c>
      <c r="B36" s="1820" t="s">
        <v>783</v>
      </c>
      <c r="C36" s="1186" t="s">
        <v>756</v>
      </c>
      <c r="D36" s="1187">
        <f t="shared" si="1"/>
        <v>8.98</v>
      </c>
      <c r="E36" s="1188"/>
      <c r="F36" s="1189"/>
      <c r="G36" s="1190"/>
      <c r="H36" s="1234">
        <f>I36+J36</f>
        <v>8.98</v>
      </c>
      <c r="I36" s="1235">
        <v>0</v>
      </c>
      <c r="J36" s="1236">
        <v>8.98</v>
      </c>
      <c r="K36" s="1194"/>
      <c r="L36" s="1195"/>
      <c r="M36" s="1196"/>
      <c r="N36" s="1197"/>
      <c r="O36" s="1198"/>
      <c r="P36" s="1196"/>
      <c r="Q36" s="1199"/>
      <c r="R36" s="1200"/>
      <c r="S36" s="1197"/>
      <c r="T36" s="1196"/>
      <c r="V36" s="1099">
        <v>7.534</v>
      </c>
      <c r="W36" s="1100">
        <v>8.553</v>
      </c>
    </row>
    <row r="37" spans="1:23" ht="14.25">
      <c r="A37" s="1798"/>
      <c r="B37" s="1822"/>
      <c r="C37" s="1118" t="s">
        <v>784</v>
      </c>
      <c r="D37" s="1119">
        <f t="shared" si="1"/>
        <v>111</v>
      </c>
      <c r="E37" s="1120"/>
      <c r="F37" s="1121"/>
      <c r="G37" s="1122"/>
      <c r="H37" s="1123">
        <f t="shared" si="2"/>
        <v>111</v>
      </c>
      <c r="I37" s="1124">
        <v>0</v>
      </c>
      <c r="J37" s="1237">
        <v>111</v>
      </c>
      <c r="K37" s="1126"/>
      <c r="L37" s="1127"/>
      <c r="M37" s="1128"/>
      <c r="N37" s="1129"/>
      <c r="O37" s="1130"/>
      <c r="P37" s="1128"/>
      <c r="Q37" s="1131"/>
      <c r="R37" s="1132"/>
      <c r="S37" s="1129"/>
      <c r="T37" s="1128"/>
      <c r="V37" s="1099">
        <v>102</v>
      </c>
      <c r="W37" s="1100">
        <v>116</v>
      </c>
    </row>
    <row r="38" spans="1:23" ht="15" thickBot="1">
      <c r="A38" s="1803"/>
      <c r="B38" s="1821"/>
      <c r="C38" s="1135" t="s">
        <v>24</v>
      </c>
      <c r="D38" s="1201">
        <f t="shared" si="1"/>
        <v>14256.202</v>
      </c>
      <c r="E38" s="1202"/>
      <c r="F38" s="1203"/>
      <c r="G38" s="1204"/>
      <c r="H38" s="1238">
        <f t="shared" si="2"/>
        <v>14256.202</v>
      </c>
      <c r="I38" s="1239">
        <v>0</v>
      </c>
      <c r="J38" s="1240">
        <v>14256.202</v>
      </c>
      <c r="K38" s="1208"/>
      <c r="L38" s="1209"/>
      <c r="M38" s="1210"/>
      <c r="N38" s="1211"/>
      <c r="O38" s="1212"/>
      <c r="P38" s="1210"/>
      <c r="Q38" s="1213"/>
      <c r="R38" s="1214"/>
      <c r="S38" s="1211"/>
      <c r="T38" s="1210"/>
      <c r="V38" s="1099">
        <v>11315.676232</v>
      </c>
      <c r="W38" s="1100">
        <v>13178.64753</v>
      </c>
    </row>
    <row r="39" spans="1:23" ht="14.25">
      <c r="A39" s="1806" t="s">
        <v>785</v>
      </c>
      <c r="B39" s="1823" t="s">
        <v>786</v>
      </c>
      <c r="C39" s="1186" t="s">
        <v>756</v>
      </c>
      <c r="D39" s="1187">
        <f t="shared" si="1"/>
        <v>0.0194</v>
      </c>
      <c r="E39" s="1188"/>
      <c r="F39" s="1215"/>
      <c r="G39" s="1216"/>
      <c r="H39" s="1191">
        <f t="shared" si="2"/>
        <v>0.0194</v>
      </c>
      <c r="I39" s="1192">
        <v>0</v>
      </c>
      <c r="J39" s="1193">
        <v>0.0194</v>
      </c>
      <c r="K39" s="1219"/>
      <c r="L39" s="1220"/>
      <c r="M39" s="1221"/>
      <c r="N39" s="1222"/>
      <c r="O39" s="1223"/>
      <c r="P39" s="1221"/>
      <c r="Q39" s="1224"/>
      <c r="R39" s="1225"/>
      <c r="S39" s="1222"/>
      <c r="T39" s="1221"/>
      <c r="V39" s="1099">
        <v>0.09</v>
      </c>
      <c r="W39" s="1100">
        <v>0.16899999999999998</v>
      </c>
    </row>
    <row r="40" spans="1:23" ht="15" thickBot="1">
      <c r="A40" s="1799"/>
      <c r="B40" s="1824"/>
      <c r="C40" s="1135" t="s">
        <v>24</v>
      </c>
      <c r="D40" s="1201">
        <f t="shared" si="1"/>
        <v>18.973</v>
      </c>
      <c r="E40" s="1202"/>
      <c r="F40" s="1226"/>
      <c r="G40" s="1227"/>
      <c r="H40" s="1205">
        <f t="shared" si="2"/>
        <v>18.973</v>
      </c>
      <c r="I40" s="1206">
        <v>0</v>
      </c>
      <c r="J40" s="1207">
        <v>18.973</v>
      </c>
      <c r="K40" s="1231"/>
      <c r="L40" s="1232"/>
      <c r="M40" s="1183"/>
      <c r="N40" s="1181"/>
      <c r="O40" s="1182"/>
      <c r="P40" s="1183"/>
      <c r="Q40" s="1233"/>
      <c r="R40" s="1185"/>
      <c r="S40" s="1181"/>
      <c r="T40" s="1183"/>
      <c r="V40" s="1099">
        <v>87.643</v>
      </c>
      <c r="W40" s="1100">
        <v>87.827</v>
      </c>
    </row>
    <row r="41" spans="1:23" ht="14.25">
      <c r="A41" s="1802" t="s">
        <v>787</v>
      </c>
      <c r="B41" s="1816" t="s">
        <v>788</v>
      </c>
      <c r="C41" s="1186" t="s">
        <v>756</v>
      </c>
      <c r="D41" s="1187">
        <f t="shared" si="1"/>
        <v>0.095</v>
      </c>
      <c r="E41" s="1188"/>
      <c r="F41" s="1189"/>
      <c r="G41" s="1190"/>
      <c r="H41" s="1191">
        <f t="shared" si="2"/>
        <v>0.095</v>
      </c>
      <c r="I41" s="1192">
        <v>0</v>
      </c>
      <c r="J41" s="1193">
        <v>0.095</v>
      </c>
      <c r="K41" s="1194"/>
      <c r="L41" s="1195"/>
      <c r="M41" s="1196"/>
      <c r="N41" s="1197"/>
      <c r="O41" s="1198"/>
      <c r="P41" s="1196"/>
      <c r="Q41" s="1199"/>
      <c r="R41" s="1200"/>
      <c r="S41" s="1197"/>
      <c r="T41" s="1196"/>
      <c r="V41" s="1099">
        <v>0.101</v>
      </c>
      <c r="W41" s="1100">
        <v>0.15</v>
      </c>
    </row>
    <row r="42" spans="1:23" ht="15" thickBot="1">
      <c r="A42" s="1799"/>
      <c r="B42" s="1825"/>
      <c r="C42" s="1135" t="s">
        <v>24</v>
      </c>
      <c r="D42" s="1136">
        <f t="shared" si="1"/>
        <v>256.209</v>
      </c>
      <c r="E42" s="1202"/>
      <c r="F42" s="1226"/>
      <c r="G42" s="1227"/>
      <c r="H42" s="1205">
        <f t="shared" si="2"/>
        <v>256.209</v>
      </c>
      <c r="I42" s="1206">
        <v>0</v>
      </c>
      <c r="J42" s="1207">
        <v>256.209</v>
      </c>
      <c r="K42" s="1231"/>
      <c r="L42" s="1232"/>
      <c r="M42" s="1183"/>
      <c r="N42" s="1181"/>
      <c r="O42" s="1182"/>
      <c r="P42" s="1183"/>
      <c r="Q42" s="1233"/>
      <c r="R42" s="1185"/>
      <c r="S42" s="1181"/>
      <c r="T42" s="1183"/>
      <c r="V42" s="1099">
        <v>212.10000000000002</v>
      </c>
      <c r="W42" s="1100">
        <v>404.967</v>
      </c>
    </row>
    <row r="43" spans="1:23" ht="14.25">
      <c r="A43" s="1802" t="s">
        <v>789</v>
      </c>
      <c r="B43" s="1820" t="s">
        <v>790</v>
      </c>
      <c r="C43" s="1186" t="s">
        <v>145</v>
      </c>
      <c r="D43" s="1187">
        <f t="shared" si="1"/>
        <v>215</v>
      </c>
      <c r="E43" s="1188"/>
      <c r="F43" s="1189"/>
      <c r="G43" s="1190"/>
      <c r="H43" s="1191">
        <f t="shared" si="2"/>
        <v>215</v>
      </c>
      <c r="I43" s="1192">
        <v>0</v>
      </c>
      <c r="J43" s="1193">
        <v>215</v>
      </c>
      <c r="K43" s="1194"/>
      <c r="L43" s="1195"/>
      <c r="M43" s="1196"/>
      <c r="N43" s="1197"/>
      <c r="O43" s="1198"/>
      <c r="P43" s="1196"/>
      <c r="Q43" s="1199"/>
      <c r="R43" s="1200"/>
      <c r="S43" s="1197"/>
      <c r="T43" s="1196"/>
      <c r="V43" s="1099">
        <v>252</v>
      </c>
      <c r="W43" s="1100">
        <v>380</v>
      </c>
    </row>
    <row r="44" spans="1:23" ht="15" thickBot="1">
      <c r="A44" s="1803"/>
      <c r="B44" s="1821"/>
      <c r="C44" s="1135" t="s">
        <v>24</v>
      </c>
      <c r="D44" s="1201">
        <f t="shared" si="1"/>
        <v>226.311</v>
      </c>
      <c r="E44" s="1202"/>
      <c r="F44" s="1203"/>
      <c r="G44" s="1204"/>
      <c r="H44" s="1205">
        <f t="shared" si="2"/>
        <v>226.311</v>
      </c>
      <c r="I44" s="1206">
        <v>0</v>
      </c>
      <c r="J44" s="1207">
        <v>226.311</v>
      </c>
      <c r="K44" s="1208"/>
      <c r="L44" s="1209"/>
      <c r="M44" s="1210"/>
      <c r="N44" s="1211"/>
      <c r="O44" s="1212"/>
      <c r="P44" s="1210"/>
      <c r="Q44" s="1213"/>
      <c r="R44" s="1214"/>
      <c r="S44" s="1211"/>
      <c r="T44" s="1210"/>
      <c r="V44" s="1099">
        <v>167.58</v>
      </c>
      <c r="W44" s="1100">
        <v>396.11999999999995</v>
      </c>
    </row>
    <row r="45" spans="1:23" ht="12" customHeight="1">
      <c r="A45" s="1806" t="s">
        <v>791</v>
      </c>
      <c r="B45" s="1807" t="s">
        <v>792</v>
      </c>
      <c r="C45" s="1186" t="s">
        <v>145</v>
      </c>
      <c r="D45" s="1187">
        <f t="shared" si="1"/>
        <v>0</v>
      </c>
      <c r="E45" s="1188"/>
      <c r="F45" s="1215"/>
      <c r="G45" s="1216"/>
      <c r="H45" s="1191">
        <f t="shared" si="2"/>
        <v>0</v>
      </c>
      <c r="I45" s="1192">
        <v>0</v>
      </c>
      <c r="J45" s="1193">
        <v>0</v>
      </c>
      <c r="K45" s="1219"/>
      <c r="L45" s="1220"/>
      <c r="M45" s="1221"/>
      <c r="N45" s="1222"/>
      <c r="O45" s="1223"/>
      <c r="P45" s="1221"/>
      <c r="Q45" s="1224"/>
      <c r="R45" s="1225"/>
      <c r="S45" s="1222"/>
      <c r="T45" s="1221"/>
      <c r="V45" s="1099">
        <v>0</v>
      </c>
      <c r="W45" s="1100">
        <v>0</v>
      </c>
    </row>
    <row r="46" spans="1:23" ht="12" customHeight="1" thickBot="1">
      <c r="A46" s="1799"/>
      <c r="B46" s="1808"/>
      <c r="C46" s="1135" t="s">
        <v>24</v>
      </c>
      <c r="D46" s="1136">
        <f t="shared" si="1"/>
        <v>0</v>
      </c>
      <c r="E46" s="1202"/>
      <c r="F46" s="1226"/>
      <c r="G46" s="1227"/>
      <c r="H46" s="1205">
        <f t="shared" si="2"/>
        <v>0</v>
      </c>
      <c r="I46" s="1206">
        <v>0</v>
      </c>
      <c r="J46" s="1207">
        <v>0</v>
      </c>
      <c r="K46" s="1231"/>
      <c r="L46" s="1232"/>
      <c r="M46" s="1183"/>
      <c r="N46" s="1181"/>
      <c r="O46" s="1182"/>
      <c r="P46" s="1183"/>
      <c r="Q46" s="1233"/>
      <c r="R46" s="1185"/>
      <c r="S46" s="1181"/>
      <c r="T46" s="1183"/>
      <c r="V46" s="1099">
        <v>0</v>
      </c>
      <c r="W46" s="1100">
        <v>0</v>
      </c>
    </row>
    <row r="47" spans="1:23" ht="14.25">
      <c r="A47" s="1802" t="s">
        <v>793</v>
      </c>
      <c r="B47" s="1804" t="s">
        <v>794</v>
      </c>
      <c r="C47" s="1241" t="s">
        <v>779</v>
      </c>
      <c r="D47" s="1242">
        <f t="shared" si="1"/>
        <v>2.745</v>
      </c>
      <c r="E47" s="1188"/>
      <c r="F47" s="1189"/>
      <c r="G47" s="1190"/>
      <c r="H47" s="1217">
        <f t="shared" si="2"/>
        <v>2.745</v>
      </c>
      <c r="I47" s="1167">
        <v>0</v>
      </c>
      <c r="J47" s="1218">
        <v>2.745</v>
      </c>
      <c r="K47" s="1194"/>
      <c r="L47" s="1195"/>
      <c r="M47" s="1196"/>
      <c r="N47" s="1197"/>
      <c r="O47" s="1198"/>
      <c r="P47" s="1196"/>
      <c r="Q47" s="1199"/>
      <c r="R47" s="1200"/>
      <c r="S47" s="1197"/>
      <c r="T47" s="1196"/>
      <c r="V47" s="1099">
        <v>2.365</v>
      </c>
      <c r="W47" s="1100">
        <v>0.23700000000000002</v>
      </c>
    </row>
    <row r="48" spans="1:23" ht="15" thickBot="1">
      <c r="A48" s="1803"/>
      <c r="B48" s="1805"/>
      <c r="C48" s="1135" t="s">
        <v>24</v>
      </c>
      <c r="D48" s="1136">
        <f t="shared" si="1"/>
        <v>1247.045</v>
      </c>
      <c r="E48" s="1243"/>
      <c r="F48" s="1203"/>
      <c r="G48" s="1204"/>
      <c r="H48" s="1228">
        <f t="shared" si="2"/>
        <v>1247.045</v>
      </c>
      <c r="I48" s="1229">
        <v>0</v>
      </c>
      <c r="J48" s="1230">
        <v>1247.045</v>
      </c>
      <c r="K48" s="1208"/>
      <c r="L48" s="1209"/>
      <c r="M48" s="1210"/>
      <c r="N48" s="1211"/>
      <c r="O48" s="1212"/>
      <c r="P48" s="1210"/>
      <c r="Q48" s="1213"/>
      <c r="R48" s="1214"/>
      <c r="S48" s="1211"/>
      <c r="T48" s="1210"/>
      <c r="V48" s="1099">
        <v>580.21</v>
      </c>
      <c r="W48" s="1100">
        <v>147.94099999999997</v>
      </c>
    </row>
    <row r="49" spans="1:23" ht="14.25">
      <c r="A49" s="1806" t="s">
        <v>795</v>
      </c>
      <c r="B49" s="1807" t="s">
        <v>796</v>
      </c>
      <c r="C49" s="1241" t="s">
        <v>145</v>
      </c>
      <c r="D49" s="1242">
        <f t="shared" si="1"/>
        <v>49</v>
      </c>
      <c r="E49" s="1244"/>
      <c r="F49" s="1215"/>
      <c r="G49" s="1216"/>
      <c r="H49" s="1191">
        <f t="shared" si="2"/>
        <v>49</v>
      </c>
      <c r="I49" s="1192">
        <v>0</v>
      </c>
      <c r="J49" s="1193">
        <v>49</v>
      </c>
      <c r="K49" s="1219"/>
      <c r="L49" s="1220"/>
      <c r="M49" s="1221"/>
      <c r="N49" s="1222"/>
      <c r="O49" s="1223"/>
      <c r="P49" s="1221"/>
      <c r="Q49" s="1224"/>
      <c r="R49" s="1225"/>
      <c r="S49" s="1222"/>
      <c r="T49" s="1221"/>
      <c r="V49" s="1099">
        <v>29</v>
      </c>
      <c r="W49" s="1100">
        <v>112</v>
      </c>
    </row>
    <row r="50" spans="1:23" ht="15" thickBot="1">
      <c r="A50" s="1799"/>
      <c r="B50" s="1808"/>
      <c r="C50" s="1135" t="s">
        <v>24</v>
      </c>
      <c r="D50" s="1136">
        <f t="shared" si="1"/>
        <v>173.656</v>
      </c>
      <c r="E50" s="1202"/>
      <c r="F50" s="1226"/>
      <c r="G50" s="1227"/>
      <c r="H50" s="1205">
        <f t="shared" si="2"/>
        <v>173.656</v>
      </c>
      <c r="I50" s="1206">
        <v>0</v>
      </c>
      <c r="J50" s="1207">
        <v>173.656</v>
      </c>
      <c r="K50" s="1231"/>
      <c r="L50" s="1232"/>
      <c r="M50" s="1183"/>
      <c r="N50" s="1181"/>
      <c r="O50" s="1182"/>
      <c r="P50" s="1183"/>
      <c r="Q50" s="1233"/>
      <c r="R50" s="1185"/>
      <c r="S50" s="1181"/>
      <c r="T50" s="1183"/>
      <c r="V50" s="1099">
        <v>68.15</v>
      </c>
      <c r="W50" s="1100">
        <v>384.69100000000003</v>
      </c>
    </row>
    <row r="51" spans="1:23" ht="14.25">
      <c r="A51" s="1806" t="s">
        <v>797</v>
      </c>
      <c r="B51" s="1807" t="s">
        <v>798</v>
      </c>
      <c r="C51" s="1241" t="s">
        <v>145</v>
      </c>
      <c r="D51" s="1245">
        <f t="shared" si="1"/>
        <v>45</v>
      </c>
      <c r="E51" s="1244"/>
      <c r="F51" s="1215"/>
      <c r="G51" s="1216"/>
      <c r="H51" s="1191">
        <f t="shared" si="2"/>
        <v>45</v>
      </c>
      <c r="I51" s="1192">
        <v>0</v>
      </c>
      <c r="J51" s="1193">
        <v>45</v>
      </c>
      <c r="K51" s="1219"/>
      <c r="L51" s="1220"/>
      <c r="M51" s="1221"/>
      <c r="N51" s="1222"/>
      <c r="O51" s="1223"/>
      <c r="P51" s="1221"/>
      <c r="Q51" s="1224"/>
      <c r="R51" s="1225"/>
      <c r="S51" s="1222"/>
      <c r="T51" s="1221"/>
      <c r="V51" s="1099">
        <v>114</v>
      </c>
      <c r="W51" s="1100">
        <v>99</v>
      </c>
    </row>
    <row r="52" spans="1:23" ht="15" thickBot="1">
      <c r="A52" s="1799"/>
      <c r="B52" s="1808"/>
      <c r="C52" s="1135" t="s">
        <v>24</v>
      </c>
      <c r="D52" s="1136">
        <f t="shared" si="1"/>
        <v>733.499</v>
      </c>
      <c r="E52" s="1202"/>
      <c r="F52" s="1226"/>
      <c r="G52" s="1227"/>
      <c r="H52" s="1205">
        <f t="shared" si="2"/>
        <v>733.499</v>
      </c>
      <c r="I52" s="1206">
        <v>0</v>
      </c>
      <c r="J52" s="1207">
        <v>733.499</v>
      </c>
      <c r="K52" s="1231"/>
      <c r="L52" s="1232"/>
      <c r="M52" s="1183"/>
      <c r="N52" s="1181"/>
      <c r="O52" s="1182"/>
      <c r="P52" s="1183"/>
      <c r="Q52" s="1233"/>
      <c r="R52" s="1185"/>
      <c r="S52" s="1181"/>
      <c r="T52" s="1183"/>
      <c r="V52" s="1099">
        <v>1737.407</v>
      </c>
      <c r="W52" s="1100">
        <v>1017.326</v>
      </c>
    </row>
    <row r="53" spans="1:23" ht="14.25">
      <c r="A53" s="1806" t="s">
        <v>799</v>
      </c>
      <c r="B53" s="1814" t="s">
        <v>800</v>
      </c>
      <c r="C53" s="1186" t="s">
        <v>145</v>
      </c>
      <c r="D53" s="1187">
        <f t="shared" si="1"/>
        <v>679</v>
      </c>
      <c r="E53" s="1246"/>
      <c r="F53" s="1247"/>
      <c r="G53" s="1248"/>
      <c r="H53" s="1249">
        <f t="shared" si="2"/>
        <v>679</v>
      </c>
      <c r="I53" s="1192">
        <v>0</v>
      </c>
      <c r="J53" s="1193">
        <v>679</v>
      </c>
      <c r="K53" s="1250"/>
      <c r="L53" s="1251"/>
      <c r="M53" s="1252"/>
      <c r="N53" s="1222"/>
      <c r="O53" s="1223"/>
      <c r="P53" s="1221"/>
      <c r="Q53" s="1224"/>
      <c r="R53" s="1225"/>
      <c r="S53" s="1222"/>
      <c r="T53" s="1221"/>
      <c r="V53" s="1099">
        <v>711</v>
      </c>
      <c r="W53" s="1100">
        <v>1514</v>
      </c>
    </row>
    <row r="54" spans="1:23" ht="15" thickBot="1">
      <c r="A54" s="1799"/>
      <c r="B54" s="1815"/>
      <c r="C54" s="1135" t="s">
        <v>24</v>
      </c>
      <c r="D54" s="1136">
        <f t="shared" si="1"/>
        <v>1417.071</v>
      </c>
      <c r="E54" s="1253"/>
      <c r="F54" s="1254"/>
      <c r="G54" s="1255"/>
      <c r="H54" s="1256">
        <f t="shared" si="2"/>
        <v>1417.071</v>
      </c>
      <c r="I54" s="1206">
        <v>0</v>
      </c>
      <c r="J54" s="1207">
        <v>1417.071</v>
      </c>
      <c r="K54" s="1257"/>
      <c r="L54" s="1258"/>
      <c r="M54" s="1259"/>
      <c r="N54" s="1181"/>
      <c r="O54" s="1182"/>
      <c r="P54" s="1183"/>
      <c r="Q54" s="1233"/>
      <c r="R54" s="1185"/>
      <c r="S54" s="1181"/>
      <c r="T54" s="1183"/>
      <c r="V54" s="1099">
        <v>691.291</v>
      </c>
      <c r="W54" s="1100">
        <v>2658.13</v>
      </c>
    </row>
    <row r="55" spans="1:23" ht="14.25">
      <c r="A55" s="1802" t="s">
        <v>801</v>
      </c>
      <c r="B55" s="1816" t="s">
        <v>802</v>
      </c>
      <c r="C55" s="1241" t="s">
        <v>756</v>
      </c>
      <c r="D55" s="1242">
        <f t="shared" si="1"/>
        <v>0.843</v>
      </c>
      <c r="E55" s="1188"/>
      <c r="F55" s="1189"/>
      <c r="G55" s="1190"/>
      <c r="H55" s="1217">
        <f t="shared" si="2"/>
        <v>0.843</v>
      </c>
      <c r="I55" s="1167">
        <v>0</v>
      </c>
      <c r="J55" s="1218">
        <v>0.843</v>
      </c>
      <c r="K55" s="1194"/>
      <c r="L55" s="1195"/>
      <c r="M55" s="1196"/>
      <c r="N55" s="1197"/>
      <c r="O55" s="1198"/>
      <c r="P55" s="1196"/>
      <c r="Q55" s="1199"/>
      <c r="R55" s="1200"/>
      <c r="S55" s="1197"/>
      <c r="T55" s="1196"/>
      <c r="V55" s="1099">
        <v>0.915</v>
      </c>
      <c r="W55" s="1100">
        <v>0.7440000000000001</v>
      </c>
    </row>
    <row r="56" spans="1:23" ht="15" thickBot="1">
      <c r="A56" s="1803"/>
      <c r="B56" s="1817"/>
      <c r="C56" s="1135" t="s">
        <v>24</v>
      </c>
      <c r="D56" s="1136">
        <f t="shared" si="1"/>
        <v>1404.804</v>
      </c>
      <c r="E56" s="1243"/>
      <c r="F56" s="1203"/>
      <c r="G56" s="1204"/>
      <c r="H56" s="1228">
        <f t="shared" si="2"/>
        <v>1404.804</v>
      </c>
      <c r="I56" s="1229">
        <v>0</v>
      </c>
      <c r="J56" s="1230">
        <v>1404.804</v>
      </c>
      <c r="K56" s="1208"/>
      <c r="L56" s="1209"/>
      <c r="M56" s="1210"/>
      <c r="N56" s="1211"/>
      <c r="O56" s="1212"/>
      <c r="P56" s="1210"/>
      <c r="Q56" s="1213"/>
      <c r="R56" s="1214"/>
      <c r="S56" s="1211"/>
      <c r="T56" s="1210"/>
      <c r="V56" s="1099">
        <v>1460.831</v>
      </c>
      <c r="W56" s="1100">
        <v>1360.8490000000002</v>
      </c>
    </row>
    <row r="57" spans="1:23" ht="14.25">
      <c r="A57" s="1794" t="s">
        <v>803</v>
      </c>
      <c r="B57" s="1818" t="s">
        <v>804</v>
      </c>
      <c r="C57" s="1260" t="s">
        <v>145</v>
      </c>
      <c r="D57" s="1261">
        <f t="shared" si="1"/>
        <v>11</v>
      </c>
      <c r="E57" s="1262"/>
      <c r="F57" s="1263"/>
      <c r="G57" s="1264"/>
      <c r="H57" s="1265">
        <f t="shared" si="2"/>
        <v>11</v>
      </c>
      <c r="I57" s="1266">
        <v>0</v>
      </c>
      <c r="J57" s="1267">
        <v>11</v>
      </c>
      <c r="K57" s="1219"/>
      <c r="L57" s="1220"/>
      <c r="M57" s="1221"/>
      <c r="N57" s="1222"/>
      <c r="O57" s="1223"/>
      <c r="P57" s="1221"/>
      <c r="Q57" s="1224"/>
      <c r="R57" s="1225"/>
      <c r="S57" s="1222"/>
      <c r="T57" s="1221"/>
      <c r="V57" s="1099">
        <v>7</v>
      </c>
      <c r="W57" s="1100">
        <v>33</v>
      </c>
    </row>
    <row r="58" spans="1:23" ht="15" thickBot="1">
      <c r="A58" s="1795"/>
      <c r="B58" s="1819"/>
      <c r="C58" s="1268" t="s">
        <v>24</v>
      </c>
      <c r="D58" s="1174">
        <f t="shared" si="1"/>
        <v>30.305</v>
      </c>
      <c r="E58" s="1175"/>
      <c r="F58" s="1176"/>
      <c r="G58" s="1177"/>
      <c r="H58" s="1269">
        <f t="shared" si="2"/>
        <v>30.305</v>
      </c>
      <c r="I58" s="1270">
        <v>0</v>
      </c>
      <c r="J58" s="1271">
        <v>30.305</v>
      </c>
      <c r="K58" s="1231"/>
      <c r="L58" s="1232"/>
      <c r="M58" s="1183"/>
      <c r="N58" s="1181"/>
      <c r="O58" s="1182"/>
      <c r="P58" s="1183"/>
      <c r="Q58" s="1233"/>
      <c r="R58" s="1185"/>
      <c r="S58" s="1181"/>
      <c r="T58" s="1183"/>
      <c r="V58" s="1099">
        <v>47.978</v>
      </c>
      <c r="W58" s="1100">
        <v>90.13</v>
      </c>
    </row>
    <row r="59" spans="1:23" ht="11.25" customHeight="1">
      <c r="A59" s="1806" t="s">
        <v>805</v>
      </c>
      <c r="B59" s="1807" t="s">
        <v>806</v>
      </c>
      <c r="C59" s="1241" t="s">
        <v>145</v>
      </c>
      <c r="D59" s="1245">
        <f t="shared" si="1"/>
        <v>0</v>
      </c>
      <c r="E59" s="1244"/>
      <c r="F59" s="1215"/>
      <c r="G59" s="1216"/>
      <c r="H59" s="1191">
        <f t="shared" si="2"/>
        <v>0</v>
      </c>
      <c r="I59" s="1192">
        <v>0</v>
      </c>
      <c r="J59" s="1193">
        <v>0</v>
      </c>
      <c r="K59" s="1219"/>
      <c r="L59" s="1220"/>
      <c r="M59" s="1221"/>
      <c r="N59" s="1222"/>
      <c r="O59" s="1223"/>
      <c r="P59" s="1221"/>
      <c r="Q59" s="1224"/>
      <c r="R59" s="1225"/>
      <c r="S59" s="1222"/>
      <c r="T59" s="1221"/>
      <c r="V59" s="1099">
        <v>0</v>
      </c>
      <c r="W59" s="1100">
        <v>0</v>
      </c>
    </row>
    <row r="60" spans="1:23" ht="15" thickBot="1">
      <c r="A60" s="1799"/>
      <c r="B60" s="1808"/>
      <c r="C60" s="1135" t="s">
        <v>24</v>
      </c>
      <c r="D60" s="1136">
        <f t="shared" si="1"/>
        <v>0</v>
      </c>
      <c r="E60" s="1272"/>
      <c r="F60" s="1226"/>
      <c r="G60" s="1227"/>
      <c r="H60" s="1205">
        <f t="shared" si="2"/>
        <v>0</v>
      </c>
      <c r="I60" s="1206">
        <v>0</v>
      </c>
      <c r="J60" s="1207">
        <v>0</v>
      </c>
      <c r="K60" s="1181"/>
      <c r="L60" s="1232"/>
      <c r="M60" s="1183"/>
      <c r="N60" s="1181"/>
      <c r="O60" s="1182"/>
      <c r="P60" s="1183"/>
      <c r="Q60" s="1233"/>
      <c r="R60" s="1185"/>
      <c r="S60" s="1181"/>
      <c r="T60" s="1183"/>
      <c r="V60" s="1099">
        <v>0</v>
      </c>
      <c r="W60" s="1100">
        <v>0</v>
      </c>
    </row>
    <row r="61" spans="1:23" ht="14.25">
      <c r="A61" s="1806" t="s">
        <v>807</v>
      </c>
      <c r="B61" s="1814" t="s">
        <v>808</v>
      </c>
      <c r="C61" s="1186" t="s">
        <v>809</v>
      </c>
      <c r="D61" s="1187">
        <f t="shared" si="1"/>
        <v>0</v>
      </c>
      <c r="E61" s="1244"/>
      <c r="F61" s="1215"/>
      <c r="G61" s="1216"/>
      <c r="H61" s="1191">
        <f t="shared" si="2"/>
        <v>0</v>
      </c>
      <c r="I61" s="1192">
        <v>0</v>
      </c>
      <c r="J61" s="1193">
        <v>0</v>
      </c>
      <c r="K61" s="1219"/>
      <c r="L61" s="1220"/>
      <c r="M61" s="1221"/>
      <c r="N61" s="1222"/>
      <c r="O61" s="1223"/>
      <c r="P61" s="1221"/>
      <c r="Q61" s="1224"/>
      <c r="R61" s="1225"/>
      <c r="S61" s="1222"/>
      <c r="T61" s="1221"/>
      <c r="V61" s="1099">
        <v>0</v>
      </c>
      <c r="W61" s="1100">
        <v>0</v>
      </c>
    </row>
    <row r="62" spans="1:23" ht="13.5" customHeight="1" thickBot="1">
      <c r="A62" s="1799"/>
      <c r="B62" s="1815"/>
      <c r="C62" s="1135" t="s">
        <v>24</v>
      </c>
      <c r="D62" s="1136">
        <f t="shared" si="1"/>
        <v>0</v>
      </c>
      <c r="E62" s="1202"/>
      <c r="F62" s="1226"/>
      <c r="G62" s="1227"/>
      <c r="H62" s="1205">
        <f t="shared" si="2"/>
        <v>0</v>
      </c>
      <c r="I62" s="1206">
        <v>0</v>
      </c>
      <c r="J62" s="1207">
        <v>0</v>
      </c>
      <c r="K62" s="1231"/>
      <c r="L62" s="1232"/>
      <c r="M62" s="1183"/>
      <c r="N62" s="1181"/>
      <c r="O62" s="1182"/>
      <c r="P62" s="1183"/>
      <c r="Q62" s="1233"/>
      <c r="R62" s="1185"/>
      <c r="S62" s="1181"/>
      <c r="T62" s="1183"/>
      <c r="V62" s="1099">
        <v>0</v>
      </c>
      <c r="W62" s="1100">
        <v>0</v>
      </c>
    </row>
    <row r="63" spans="1:23" ht="14.25">
      <c r="A63" s="1802" t="s">
        <v>810</v>
      </c>
      <c r="B63" s="1804" t="s">
        <v>811</v>
      </c>
      <c r="C63" s="1186" t="s">
        <v>145</v>
      </c>
      <c r="D63" s="1187">
        <f t="shared" si="1"/>
        <v>32</v>
      </c>
      <c r="E63" s="1188"/>
      <c r="F63" s="1273"/>
      <c r="G63" s="1274"/>
      <c r="H63" s="1191">
        <f t="shared" si="2"/>
        <v>32</v>
      </c>
      <c r="I63" s="1192">
        <v>0</v>
      </c>
      <c r="J63" s="1193">
        <v>32</v>
      </c>
      <c r="K63" s="1194"/>
      <c r="L63" s="1275"/>
      <c r="M63" s="1276"/>
      <c r="N63" s="1194"/>
      <c r="O63" s="1275"/>
      <c r="P63" s="1276"/>
      <c r="Q63" s="1277"/>
      <c r="R63" s="1278"/>
      <c r="S63" s="1194"/>
      <c r="T63" s="1276"/>
      <c r="V63" s="1099">
        <v>49</v>
      </c>
      <c r="W63" s="1100">
        <v>23</v>
      </c>
    </row>
    <row r="64" spans="1:23" ht="15" thickBot="1">
      <c r="A64" s="1803"/>
      <c r="B64" s="1805"/>
      <c r="C64" s="1135" t="s">
        <v>24</v>
      </c>
      <c r="D64" s="1136">
        <f t="shared" si="1"/>
        <v>622.599</v>
      </c>
      <c r="E64" s="1243"/>
      <c r="F64" s="1279"/>
      <c r="G64" s="1280"/>
      <c r="H64" s="1205">
        <f t="shared" si="2"/>
        <v>622.599</v>
      </c>
      <c r="I64" s="1206">
        <v>0</v>
      </c>
      <c r="J64" s="1207">
        <v>622.599</v>
      </c>
      <c r="K64" s="1208"/>
      <c r="L64" s="1281"/>
      <c r="M64" s="1282"/>
      <c r="N64" s="1208"/>
      <c r="O64" s="1281"/>
      <c r="P64" s="1282"/>
      <c r="Q64" s="1283"/>
      <c r="R64" s="1284"/>
      <c r="S64" s="1208"/>
      <c r="T64" s="1282"/>
      <c r="V64" s="1099">
        <v>608.17</v>
      </c>
      <c r="W64" s="1100">
        <v>171.279</v>
      </c>
    </row>
    <row r="65" spans="1:23" ht="14.25">
      <c r="A65" s="1806" t="s">
        <v>812</v>
      </c>
      <c r="B65" s="1807" t="s">
        <v>813</v>
      </c>
      <c r="C65" s="1241" t="s">
        <v>145</v>
      </c>
      <c r="D65" s="1242">
        <f t="shared" si="1"/>
        <v>53</v>
      </c>
      <c r="E65" s="1244"/>
      <c r="F65" s="1215"/>
      <c r="G65" s="1216"/>
      <c r="H65" s="1191">
        <f t="shared" si="2"/>
        <v>53</v>
      </c>
      <c r="I65" s="1192">
        <v>0</v>
      </c>
      <c r="J65" s="1193">
        <v>53</v>
      </c>
      <c r="K65" s="1219"/>
      <c r="L65" s="1220"/>
      <c r="M65" s="1221"/>
      <c r="N65" s="1222"/>
      <c r="O65" s="1223"/>
      <c r="P65" s="1221"/>
      <c r="Q65" s="1224"/>
      <c r="R65" s="1225"/>
      <c r="S65" s="1222"/>
      <c r="T65" s="1221"/>
      <c r="V65" s="1099">
        <v>56</v>
      </c>
      <c r="W65" s="1100">
        <v>55</v>
      </c>
    </row>
    <row r="66" spans="1:23" ht="15" thickBot="1">
      <c r="A66" s="1799"/>
      <c r="B66" s="1808"/>
      <c r="C66" s="1135" t="s">
        <v>24</v>
      </c>
      <c r="D66" s="1136">
        <f t="shared" si="1"/>
        <v>280.676</v>
      </c>
      <c r="E66" s="1202"/>
      <c r="F66" s="1226"/>
      <c r="G66" s="1227"/>
      <c r="H66" s="1205">
        <f t="shared" si="2"/>
        <v>280.676</v>
      </c>
      <c r="I66" s="1206">
        <v>0</v>
      </c>
      <c r="J66" s="1207">
        <v>280.676</v>
      </c>
      <c r="K66" s="1231"/>
      <c r="L66" s="1232"/>
      <c r="M66" s="1183"/>
      <c r="N66" s="1181"/>
      <c r="O66" s="1182"/>
      <c r="P66" s="1183"/>
      <c r="Q66" s="1233"/>
      <c r="R66" s="1185"/>
      <c r="S66" s="1181"/>
      <c r="T66" s="1183"/>
      <c r="V66" s="1099">
        <v>360.443</v>
      </c>
      <c r="W66" s="1100">
        <v>290.393</v>
      </c>
    </row>
    <row r="67" spans="1:23" ht="14.25">
      <c r="A67" s="1802" t="s">
        <v>814</v>
      </c>
      <c r="B67" s="1804" t="s">
        <v>815</v>
      </c>
      <c r="C67" s="1186" t="s">
        <v>816</v>
      </c>
      <c r="D67" s="1187">
        <f t="shared" si="1"/>
        <v>25</v>
      </c>
      <c r="E67" s="1188"/>
      <c r="F67" s="1189"/>
      <c r="G67" s="1190"/>
      <c r="H67" s="1191">
        <f t="shared" si="2"/>
        <v>25</v>
      </c>
      <c r="I67" s="1192">
        <v>0</v>
      </c>
      <c r="J67" s="1193">
        <v>25</v>
      </c>
      <c r="K67" s="1194"/>
      <c r="L67" s="1195"/>
      <c r="M67" s="1196"/>
      <c r="N67" s="1197"/>
      <c r="O67" s="1198"/>
      <c r="P67" s="1196"/>
      <c r="Q67" s="1199"/>
      <c r="R67" s="1200"/>
      <c r="S67" s="1197"/>
      <c r="T67" s="1196"/>
      <c r="V67" s="1099">
        <v>0</v>
      </c>
      <c r="W67" s="1100">
        <v>24</v>
      </c>
    </row>
    <row r="68" spans="1:23" ht="14.25">
      <c r="A68" s="1803"/>
      <c r="B68" s="1805"/>
      <c r="C68" s="1285" t="s">
        <v>24</v>
      </c>
      <c r="D68" s="1119">
        <f t="shared" si="1"/>
        <v>229.21041666666667</v>
      </c>
      <c r="E68" s="1243"/>
      <c r="F68" s="1203"/>
      <c r="G68" s="1204"/>
      <c r="H68" s="1170">
        <f t="shared" si="2"/>
        <v>229.21041666666667</v>
      </c>
      <c r="I68" s="1124">
        <v>0</v>
      </c>
      <c r="J68" s="1237">
        <f>220.042/24*25</f>
        <v>229.21041666666667</v>
      </c>
      <c r="K68" s="1126"/>
      <c r="L68" s="1209"/>
      <c r="M68" s="1210"/>
      <c r="N68" s="1211"/>
      <c r="O68" s="1212"/>
      <c r="P68" s="1210"/>
      <c r="Q68" s="1213"/>
      <c r="R68" s="1214"/>
      <c r="S68" s="1211"/>
      <c r="T68" s="1210"/>
      <c r="V68" s="1099">
        <v>0</v>
      </c>
      <c r="W68" s="1100">
        <v>220.042</v>
      </c>
    </row>
    <row r="69" spans="1:23" ht="14.25">
      <c r="A69" s="1798" t="s">
        <v>817</v>
      </c>
      <c r="B69" s="1809" t="s">
        <v>818</v>
      </c>
      <c r="C69" s="1118" t="s">
        <v>809</v>
      </c>
      <c r="D69" s="1119">
        <f t="shared" si="1"/>
        <v>0.095</v>
      </c>
      <c r="E69" s="1120"/>
      <c r="F69" s="1121"/>
      <c r="G69" s="1122"/>
      <c r="H69" s="1166">
        <f t="shared" si="2"/>
        <v>0.095</v>
      </c>
      <c r="I69" s="1167">
        <v>0</v>
      </c>
      <c r="J69" s="1218">
        <v>0.095</v>
      </c>
      <c r="K69" s="1194"/>
      <c r="L69" s="1127"/>
      <c r="M69" s="1128"/>
      <c r="N69" s="1129"/>
      <c r="O69" s="1130"/>
      <c r="P69" s="1128"/>
      <c r="Q69" s="1131"/>
      <c r="R69" s="1132"/>
      <c r="S69" s="1129"/>
      <c r="T69" s="1128"/>
      <c r="V69" s="1099">
        <v>0</v>
      </c>
      <c r="W69" s="1100">
        <v>0.42</v>
      </c>
    </row>
    <row r="70" spans="1:23" ht="15" thickBot="1">
      <c r="A70" s="1803"/>
      <c r="B70" s="1805"/>
      <c r="C70" s="1285" t="s">
        <v>24</v>
      </c>
      <c r="D70" s="1136">
        <f t="shared" si="1"/>
        <v>137.75</v>
      </c>
      <c r="E70" s="1243"/>
      <c r="F70" s="1203"/>
      <c r="G70" s="1204"/>
      <c r="H70" s="1286">
        <f t="shared" si="2"/>
        <v>137.75</v>
      </c>
      <c r="I70" s="1229">
        <v>0</v>
      </c>
      <c r="J70" s="1230">
        <v>137.75</v>
      </c>
      <c r="K70" s="1208"/>
      <c r="L70" s="1209"/>
      <c r="M70" s="1210"/>
      <c r="N70" s="1211"/>
      <c r="O70" s="1212"/>
      <c r="P70" s="1210"/>
      <c r="Q70" s="1213"/>
      <c r="R70" s="1214"/>
      <c r="S70" s="1211"/>
      <c r="T70" s="1210"/>
      <c r="V70" s="1099">
        <v>0</v>
      </c>
      <c r="W70" s="1100">
        <v>302.348</v>
      </c>
    </row>
    <row r="71" spans="1:23" ht="15" thickBot="1">
      <c r="A71" s="1287" t="s">
        <v>819</v>
      </c>
      <c r="B71" s="1288" t="s">
        <v>820</v>
      </c>
      <c r="C71" s="1289" t="s">
        <v>24</v>
      </c>
      <c r="D71" s="1290">
        <f t="shared" si="1"/>
        <v>7740.404981407699</v>
      </c>
      <c r="E71" s="1291"/>
      <c r="F71" s="1292"/>
      <c r="G71" s="1293"/>
      <c r="H71" s="1294">
        <f t="shared" si="2"/>
        <v>7740.404981407699</v>
      </c>
      <c r="I71" s="1295">
        <f>I73+I83+I85</f>
        <v>0</v>
      </c>
      <c r="J71" s="1296">
        <f>J73+J83+J85</f>
        <v>7740.404981407699</v>
      </c>
      <c r="K71" s="1297"/>
      <c r="L71" s="1298"/>
      <c r="M71" s="1299"/>
      <c r="N71" s="1297"/>
      <c r="O71" s="1300"/>
      <c r="P71" s="1299"/>
      <c r="Q71" s="1301"/>
      <c r="R71" s="1302"/>
      <c r="S71" s="1297"/>
      <c r="T71" s="1299"/>
      <c r="V71" s="1083">
        <v>12600.55719</v>
      </c>
      <c r="W71" s="1084">
        <v>6725.983</v>
      </c>
    </row>
    <row r="72" spans="1:23" ht="14.25">
      <c r="A72" s="1810" t="s">
        <v>821</v>
      </c>
      <c r="B72" s="1812" t="s">
        <v>822</v>
      </c>
      <c r="C72" s="1303" t="s">
        <v>779</v>
      </c>
      <c r="D72" s="1150">
        <f t="shared" si="1"/>
        <v>2.102</v>
      </c>
      <c r="E72" s="1304"/>
      <c r="F72" s="1305"/>
      <c r="G72" s="1306"/>
      <c r="H72" s="1307">
        <f t="shared" si="2"/>
        <v>2.102</v>
      </c>
      <c r="I72" s="1308">
        <f>I74+I76+I78+I80</f>
        <v>0</v>
      </c>
      <c r="J72" s="1309">
        <f>J74+J76+J78+J80</f>
        <v>2.102</v>
      </c>
      <c r="K72" s="1310"/>
      <c r="L72" s="1311"/>
      <c r="M72" s="1312"/>
      <c r="N72" s="1310"/>
      <c r="O72" s="1313"/>
      <c r="P72" s="1312"/>
      <c r="Q72" s="1314"/>
      <c r="R72" s="1315"/>
      <c r="S72" s="1310"/>
      <c r="T72" s="1312"/>
      <c r="V72" s="1115">
        <v>2.73</v>
      </c>
      <c r="W72" s="1116">
        <v>2.027</v>
      </c>
    </row>
    <row r="73" spans="1:23" ht="14.25">
      <c r="A73" s="1811"/>
      <c r="B73" s="1813"/>
      <c r="C73" s="1102" t="s">
        <v>24</v>
      </c>
      <c r="D73" s="1103">
        <f t="shared" si="1"/>
        <v>2144.977203629921</v>
      </c>
      <c r="E73" s="1316"/>
      <c r="F73" s="1317"/>
      <c r="G73" s="1318"/>
      <c r="H73" s="1163">
        <f t="shared" si="2"/>
        <v>2144.977203629921</v>
      </c>
      <c r="I73" s="1319">
        <f>I75+I77+I79+I81</f>
        <v>0</v>
      </c>
      <c r="J73" s="1320">
        <f>J75+J77+J79+J81</f>
        <v>2144.977203629921</v>
      </c>
      <c r="K73" s="1321"/>
      <c r="L73" s="1322"/>
      <c r="M73" s="1323"/>
      <c r="N73" s="1321"/>
      <c r="O73" s="1324"/>
      <c r="P73" s="1323"/>
      <c r="Q73" s="1325"/>
      <c r="R73" s="1326"/>
      <c r="S73" s="1321"/>
      <c r="T73" s="1323"/>
      <c r="V73" s="1115">
        <v>4595.09525</v>
      </c>
      <c r="W73" s="1116">
        <v>2069.076</v>
      </c>
    </row>
    <row r="74" spans="1:23" ht="12.75" customHeight="1">
      <c r="A74" s="1798" t="s">
        <v>823</v>
      </c>
      <c r="B74" s="1800" t="s">
        <v>824</v>
      </c>
      <c r="C74" s="1118" t="s">
        <v>825</v>
      </c>
      <c r="D74" s="1119">
        <f t="shared" si="1"/>
        <v>0.24</v>
      </c>
      <c r="E74" s="1327"/>
      <c r="F74" s="1328"/>
      <c r="G74" s="1122"/>
      <c r="H74" s="1170">
        <f t="shared" si="2"/>
        <v>0.24</v>
      </c>
      <c r="I74" s="1329">
        <v>0</v>
      </c>
      <c r="J74" s="1330">
        <v>0.24</v>
      </c>
      <c r="K74" s="1129"/>
      <c r="L74" s="1130"/>
      <c r="M74" s="1128"/>
      <c r="N74" s="1129"/>
      <c r="O74" s="1130"/>
      <c r="P74" s="1128"/>
      <c r="Q74" s="1131"/>
      <c r="R74" s="1132"/>
      <c r="S74" s="1129"/>
      <c r="T74" s="1128"/>
      <c r="V74" s="1099">
        <v>0.195</v>
      </c>
      <c r="W74" s="1100">
        <v>0.239</v>
      </c>
    </row>
    <row r="75" spans="1:23" ht="12.75" customHeight="1">
      <c r="A75" s="1798"/>
      <c r="B75" s="1800"/>
      <c r="C75" s="1118" t="s">
        <v>24</v>
      </c>
      <c r="D75" s="1119">
        <f t="shared" si="1"/>
        <v>315.74332</v>
      </c>
      <c r="E75" s="1120"/>
      <c r="F75" s="1121"/>
      <c r="G75" s="1122"/>
      <c r="H75" s="1170">
        <f t="shared" si="2"/>
        <v>315.74332</v>
      </c>
      <c r="I75" s="1329">
        <v>0</v>
      </c>
      <c r="J75" s="1330">
        <f>(1179.793*J74)+32.593</f>
        <v>315.74332</v>
      </c>
      <c r="K75" s="1126"/>
      <c r="L75" s="1331"/>
      <c r="M75" s="1128"/>
      <c r="N75" s="1129"/>
      <c r="O75" s="1130"/>
      <c r="P75" s="1128"/>
      <c r="Q75" s="1131"/>
      <c r="R75" s="1132"/>
      <c r="S75" s="1129"/>
      <c r="T75" s="1128"/>
      <c r="V75" s="1099">
        <v>322.452</v>
      </c>
      <c r="W75" s="1100">
        <v>285.723</v>
      </c>
    </row>
    <row r="76" spans="1:23" ht="12.75" customHeight="1">
      <c r="A76" s="1798" t="s">
        <v>826</v>
      </c>
      <c r="B76" s="1800" t="s">
        <v>827</v>
      </c>
      <c r="C76" s="1118" t="s">
        <v>779</v>
      </c>
      <c r="D76" s="1119">
        <f t="shared" si="1"/>
        <v>0.375</v>
      </c>
      <c r="E76" s="1120"/>
      <c r="F76" s="1121"/>
      <c r="G76" s="1122"/>
      <c r="H76" s="1170">
        <f t="shared" si="2"/>
        <v>0.375</v>
      </c>
      <c r="I76" s="1329">
        <v>0</v>
      </c>
      <c r="J76" s="1330">
        <v>0.375</v>
      </c>
      <c r="K76" s="1126"/>
      <c r="L76" s="1331"/>
      <c r="M76" s="1128"/>
      <c r="N76" s="1129"/>
      <c r="O76" s="1130"/>
      <c r="P76" s="1128"/>
      <c r="Q76" s="1131"/>
      <c r="R76" s="1132"/>
      <c r="S76" s="1129"/>
      <c r="T76" s="1128"/>
      <c r="V76" s="1099">
        <v>0.92</v>
      </c>
      <c r="W76" s="1100">
        <v>0.32699999999999996</v>
      </c>
    </row>
    <row r="77" spans="1:23" ht="12.75" customHeight="1">
      <c r="A77" s="1798"/>
      <c r="B77" s="1800"/>
      <c r="C77" s="1118" t="s">
        <v>24</v>
      </c>
      <c r="D77" s="1119">
        <f t="shared" si="1"/>
        <v>356.743875</v>
      </c>
      <c r="E77" s="1120"/>
      <c r="F77" s="1121"/>
      <c r="G77" s="1122"/>
      <c r="H77" s="1170">
        <f t="shared" si="2"/>
        <v>356.743875</v>
      </c>
      <c r="I77" s="1329">
        <v>0</v>
      </c>
      <c r="J77" s="1330">
        <f>951.317*J76</f>
        <v>356.743875</v>
      </c>
      <c r="K77" s="1126"/>
      <c r="L77" s="1127"/>
      <c r="M77" s="1128"/>
      <c r="N77" s="1129"/>
      <c r="O77" s="1130"/>
      <c r="P77" s="1128"/>
      <c r="Q77" s="1131"/>
      <c r="R77" s="1132"/>
      <c r="S77" s="1129"/>
      <c r="T77" s="1128"/>
      <c r="V77" s="1099">
        <v>1347.8</v>
      </c>
      <c r="W77" s="1100">
        <v>323.893</v>
      </c>
    </row>
    <row r="78" spans="1:23" ht="12.75" customHeight="1">
      <c r="A78" s="1798" t="s">
        <v>828</v>
      </c>
      <c r="B78" s="1800" t="s">
        <v>829</v>
      </c>
      <c r="C78" s="1118" t="s">
        <v>779</v>
      </c>
      <c r="D78" s="1119">
        <f t="shared" si="1"/>
        <v>0.947</v>
      </c>
      <c r="E78" s="1120"/>
      <c r="F78" s="1121"/>
      <c r="G78" s="1122"/>
      <c r="H78" s="1170">
        <f t="shared" si="2"/>
        <v>0.947</v>
      </c>
      <c r="I78" s="1329">
        <v>0</v>
      </c>
      <c r="J78" s="1330">
        <v>0.947</v>
      </c>
      <c r="K78" s="1126"/>
      <c r="L78" s="1127"/>
      <c r="M78" s="1128"/>
      <c r="N78" s="1129"/>
      <c r="O78" s="1130"/>
      <c r="P78" s="1128"/>
      <c r="Q78" s="1131"/>
      <c r="R78" s="1132"/>
      <c r="S78" s="1129"/>
      <c r="T78" s="1128"/>
      <c r="V78" s="1099">
        <v>0.755</v>
      </c>
      <c r="W78" s="1100">
        <v>0.953</v>
      </c>
    </row>
    <row r="79" spans="1:23" ht="12.75" customHeight="1">
      <c r="A79" s="1798"/>
      <c r="B79" s="1800"/>
      <c r="C79" s="1118" t="s">
        <v>24</v>
      </c>
      <c r="D79" s="1119">
        <f t="shared" si="1"/>
        <v>886.9450479999999</v>
      </c>
      <c r="E79" s="1120"/>
      <c r="F79" s="1121"/>
      <c r="G79" s="1122"/>
      <c r="H79" s="1170">
        <f t="shared" si="2"/>
        <v>886.9450479999999</v>
      </c>
      <c r="I79" s="1124">
        <v>0</v>
      </c>
      <c r="J79" s="1237">
        <f>936.584*J78</f>
        <v>886.9450479999999</v>
      </c>
      <c r="K79" s="1126"/>
      <c r="L79" s="1127"/>
      <c r="M79" s="1128"/>
      <c r="N79" s="1129"/>
      <c r="O79" s="1130"/>
      <c r="P79" s="1128"/>
      <c r="Q79" s="1131"/>
      <c r="R79" s="1132"/>
      <c r="S79" s="1129"/>
      <c r="T79" s="1128"/>
      <c r="V79" s="1099">
        <v>1064.66325</v>
      </c>
      <c r="W79" s="1100">
        <v>908.614</v>
      </c>
    </row>
    <row r="80" spans="1:23" ht="12.75" customHeight="1">
      <c r="A80" s="1798" t="s">
        <v>830</v>
      </c>
      <c r="B80" s="1800" t="s">
        <v>831</v>
      </c>
      <c r="C80" s="1118" t="s">
        <v>779</v>
      </c>
      <c r="D80" s="1119">
        <f aca="true" t="shared" si="3" ref="D80:D97">H80</f>
        <v>0.54</v>
      </c>
      <c r="E80" s="1120"/>
      <c r="F80" s="1121"/>
      <c r="G80" s="1122"/>
      <c r="H80" s="1170">
        <f>I80+J80</f>
        <v>0.54</v>
      </c>
      <c r="I80" s="1124">
        <v>0</v>
      </c>
      <c r="J80" s="1237">
        <v>0.54</v>
      </c>
      <c r="K80" s="1126"/>
      <c r="L80" s="1127"/>
      <c r="M80" s="1128"/>
      <c r="N80" s="1129"/>
      <c r="O80" s="1130"/>
      <c r="P80" s="1128"/>
      <c r="Q80" s="1131"/>
      <c r="R80" s="1132"/>
      <c r="S80" s="1129"/>
      <c r="T80" s="1128"/>
      <c r="V80" s="1099">
        <v>0.86</v>
      </c>
      <c r="W80" s="1100">
        <v>0.508</v>
      </c>
    </row>
    <row r="81" spans="1:23" ht="12.75" customHeight="1" thickBot="1">
      <c r="A81" s="1799"/>
      <c r="B81" s="1801"/>
      <c r="C81" s="1135" t="s">
        <v>24</v>
      </c>
      <c r="D81" s="1136">
        <f t="shared" si="3"/>
        <v>585.5449606299213</v>
      </c>
      <c r="E81" s="1332"/>
      <c r="F81" s="1333"/>
      <c r="G81" s="1177"/>
      <c r="H81" s="1256">
        <f t="shared" si="2"/>
        <v>585.5449606299213</v>
      </c>
      <c r="I81" s="1206">
        <v>0</v>
      </c>
      <c r="J81" s="1207">
        <f>550.846/0.508*J80</f>
        <v>585.5449606299213</v>
      </c>
      <c r="K81" s="1334"/>
      <c r="L81" s="1335"/>
      <c r="M81" s="1336"/>
      <c r="N81" s="1334"/>
      <c r="O81" s="1335"/>
      <c r="P81" s="1336"/>
      <c r="Q81" s="1337"/>
      <c r="R81" s="1338"/>
      <c r="S81" s="1334"/>
      <c r="T81" s="1336"/>
      <c r="V81" s="1099">
        <v>1860.18</v>
      </c>
      <c r="W81" s="1100">
        <v>550.846</v>
      </c>
    </row>
    <row r="82" spans="1:23" ht="12.75" customHeight="1">
      <c r="A82" s="1802" t="s">
        <v>832</v>
      </c>
      <c r="B82" s="1804" t="s">
        <v>833</v>
      </c>
      <c r="C82" s="1186" t="s">
        <v>145</v>
      </c>
      <c r="D82" s="1187">
        <f t="shared" si="3"/>
        <v>50</v>
      </c>
      <c r="E82" s="1339"/>
      <c r="F82" s="1189"/>
      <c r="G82" s="1190"/>
      <c r="H82" s="1166">
        <f t="shared" si="2"/>
        <v>50</v>
      </c>
      <c r="I82" s="1167">
        <v>0</v>
      </c>
      <c r="J82" s="1218">
        <v>50</v>
      </c>
      <c r="K82" s="1197"/>
      <c r="L82" s="1195"/>
      <c r="M82" s="1196"/>
      <c r="N82" s="1197"/>
      <c r="O82" s="1198"/>
      <c r="P82" s="1196"/>
      <c r="Q82" s="1199"/>
      <c r="R82" s="1200"/>
      <c r="S82" s="1197"/>
      <c r="T82" s="1196"/>
      <c r="V82" s="1099">
        <v>45</v>
      </c>
      <c r="W82" s="1100">
        <v>54</v>
      </c>
    </row>
    <row r="83" spans="1:23" ht="12.75" customHeight="1" thickBot="1">
      <c r="A83" s="1803"/>
      <c r="B83" s="1805"/>
      <c r="C83" s="1135" t="s">
        <v>24</v>
      </c>
      <c r="D83" s="1136">
        <f t="shared" si="3"/>
        <v>100.72777777777777</v>
      </c>
      <c r="E83" s="1340"/>
      <c r="F83" s="1203"/>
      <c r="G83" s="1204"/>
      <c r="H83" s="1256">
        <f t="shared" si="2"/>
        <v>100.72777777777777</v>
      </c>
      <c r="I83" s="1206">
        <v>0</v>
      </c>
      <c r="J83" s="1207">
        <f>(108.786/54*J82)</f>
        <v>100.72777777777777</v>
      </c>
      <c r="K83" s="1181"/>
      <c r="L83" s="1209"/>
      <c r="M83" s="1210"/>
      <c r="N83" s="1211"/>
      <c r="O83" s="1212"/>
      <c r="P83" s="1210"/>
      <c r="Q83" s="1213"/>
      <c r="R83" s="1214"/>
      <c r="S83" s="1211"/>
      <c r="T83" s="1210"/>
      <c r="V83" s="1099">
        <v>138.825</v>
      </c>
      <c r="W83" s="1100">
        <v>108.78599999999999</v>
      </c>
    </row>
    <row r="84" spans="1:23" ht="14.25">
      <c r="A84" s="1806" t="s">
        <v>834</v>
      </c>
      <c r="B84" s="1807" t="s">
        <v>835</v>
      </c>
      <c r="C84" s="1186" t="s">
        <v>145</v>
      </c>
      <c r="D84" s="1187">
        <f t="shared" si="3"/>
        <v>4778</v>
      </c>
      <c r="E84" s="1341"/>
      <c r="F84" s="1215"/>
      <c r="G84" s="1216"/>
      <c r="H84" s="1249">
        <f t="shared" si="2"/>
        <v>4778</v>
      </c>
      <c r="I84" s="1192">
        <v>0</v>
      </c>
      <c r="J84" s="1193">
        <v>4778</v>
      </c>
      <c r="K84" s="1222"/>
      <c r="L84" s="1220"/>
      <c r="M84" s="1221"/>
      <c r="N84" s="1222"/>
      <c r="O84" s="1223"/>
      <c r="P84" s="1221"/>
      <c r="Q84" s="1224"/>
      <c r="R84" s="1225"/>
      <c r="S84" s="1222"/>
      <c r="T84" s="1221"/>
      <c r="V84" s="1099">
        <v>4478</v>
      </c>
      <c r="W84" s="1100">
        <v>4755</v>
      </c>
    </row>
    <row r="85" spans="1:23" ht="15" thickBot="1">
      <c r="A85" s="1799"/>
      <c r="B85" s="1808"/>
      <c r="C85" s="1135" t="s">
        <v>24</v>
      </c>
      <c r="D85" s="1201">
        <f t="shared" si="3"/>
        <v>5494.7</v>
      </c>
      <c r="E85" s="1272"/>
      <c r="F85" s="1342"/>
      <c r="G85" s="1227"/>
      <c r="H85" s="1256">
        <f aca="true" t="shared" si="4" ref="H85:H95">I85+J85</f>
        <v>5494.7</v>
      </c>
      <c r="I85" s="1206">
        <v>0</v>
      </c>
      <c r="J85" s="1207">
        <f>1.15*J84</f>
        <v>5494.7</v>
      </c>
      <c r="K85" s="1181"/>
      <c r="L85" s="1182"/>
      <c r="M85" s="1183"/>
      <c r="N85" s="1181"/>
      <c r="O85" s="1182"/>
      <c r="P85" s="1183"/>
      <c r="Q85" s="1233"/>
      <c r="R85" s="1185"/>
      <c r="S85" s="1181"/>
      <c r="T85" s="1183"/>
      <c r="V85" s="1099">
        <v>7866.636939999999</v>
      </c>
      <c r="W85" s="1100">
        <v>4548.121</v>
      </c>
    </row>
    <row r="86" spans="1:23" ht="15" thickBot="1">
      <c r="A86" s="1343" t="s">
        <v>836</v>
      </c>
      <c r="B86" s="1344" t="s">
        <v>837</v>
      </c>
      <c r="C86" s="1345" t="s">
        <v>24</v>
      </c>
      <c r="D86" s="1290">
        <f t="shared" si="3"/>
        <v>3005.8698494666</v>
      </c>
      <c r="E86" s="1346"/>
      <c r="F86" s="1347"/>
      <c r="G86" s="1348"/>
      <c r="H86" s="1349">
        <f t="shared" si="4"/>
        <v>3005.8698494666</v>
      </c>
      <c r="I86" s="1350">
        <f>I88+I90+I92</f>
        <v>0</v>
      </c>
      <c r="J86" s="1351">
        <f>J88+J90+J92</f>
        <v>3005.8698494666</v>
      </c>
      <c r="K86" s="1352"/>
      <c r="L86" s="1353"/>
      <c r="M86" s="1354"/>
      <c r="N86" s="1352"/>
      <c r="O86" s="1355"/>
      <c r="P86" s="1354"/>
      <c r="Q86" s="1356"/>
      <c r="R86" s="1357"/>
      <c r="S86" s="1352"/>
      <c r="T86" s="1358"/>
      <c r="V86" s="1083">
        <v>3402.2863055000003</v>
      </c>
      <c r="W86" s="1084">
        <v>2809.389</v>
      </c>
    </row>
    <row r="87" spans="1:23" ht="14.25">
      <c r="A87" s="1786">
        <v>25</v>
      </c>
      <c r="B87" s="1788" t="s">
        <v>838</v>
      </c>
      <c r="C87" s="1359" t="s">
        <v>779</v>
      </c>
      <c r="D87" s="1242">
        <f t="shared" si="3"/>
        <v>3.55</v>
      </c>
      <c r="E87" s="1360"/>
      <c r="F87" s="1361"/>
      <c r="G87" s="1362"/>
      <c r="H87" s="1249">
        <f t="shared" si="4"/>
        <v>3.55</v>
      </c>
      <c r="I87" s="1192">
        <v>0</v>
      </c>
      <c r="J87" s="1193">
        <v>3.55</v>
      </c>
      <c r="K87" s="1363"/>
      <c r="L87" s="1364"/>
      <c r="M87" s="1365"/>
      <c r="N87" s="1363"/>
      <c r="O87" s="1366"/>
      <c r="P87" s="1365"/>
      <c r="Q87" s="1367"/>
      <c r="R87" s="1368"/>
      <c r="S87" s="1363"/>
      <c r="T87" s="1369"/>
      <c r="V87" s="1099">
        <v>4.865</v>
      </c>
      <c r="W87" s="1100">
        <v>2.7369999999999997</v>
      </c>
    </row>
    <row r="88" spans="1:23" ht="15" thickBot="1">
      <c r="A88" s="1787"/>
      <c r="B88" s="1789"/>
      <c r="C88" s="1370" t="s">
        <v>24</v>
      </c>
      <c r="D88" s="1136">
        <f t="shared" si="3"/>
        <v>1041.7637066130799</v>
      </c>
      <c r="E88" s="1371"/>
      <c r="F88" s="1372"/>
      <c r="G88" s="1373"/>
      <c r="H88" s="1256">
        <f t="shared" si="4"/>
        <v>1041.7637066130799</v>
      </c>
      <c r="I88" s="1206">
        <v>0</v>
      </c>
      <c r="J88" s="1207">
        <f>(803.189/2.737*J87)-0.005</f>
        <v>1041.7637066130799</v>
      </c>
      <c r="K88" s="1374"/>
      <c r="L88" s="1375"/>
      <c r="M88" s="1376"/>
      <c r="N88" s="1374"/>
      <c r="O88" s="1377"/>
      <c r="P88" s="1376"/>
      <c r="Q88" s="1378"/>
      <c r="R88" s="1379"/>
      <c r="S88" s="1374"/>
      <c r="T88" s="1380"/>
      <c r="V88" s="1099">
        <v>1754.6143055000002</v>
      </c>
      <c r="W88" s="1100">
        <v>803.189</v>
      </c>
    </row>
    <row r="89" spans="1:23" ht="14.25">
      <c r="A89" s="1790">
        <v>26</v>
      </c>
      <c r="B89" s="1792" t="s">
        <v>839</v>
      </c>
      <c r="C89" s="1381" t="s">
        <v>840</v>
      </c>
      <c r="D89" s="1187">
        <f t="shared" si="3"/>
        <v>480</v>
      </c>
      <c r="E89" s="1382"/>
      <c r="F89" s="1383"/>
      <c r="G89" s="1384"/>
      <c r="H89" s="1166">
        <f t="shared" si="4"/>
        <v>480</v>
      </c>
      <c r="I89" s="1167">
        <v>0</v>
      </c>
      <c r="J89" s="1218">
        <v>480</v>
      </c>
      <c r="K89" s="1385"/>
      <c r="L89" s="1386"/>
      <c r="M89" s="1387"/>
      <c r="N89" s="1385"/>
      <c r="O89" s="1388"/>
      <c r="P89" s="1387"/>
      <c r="Q89" s="1389"/>
      <c r="R89" s="1390"/>
      <c r="S89" s="1385"/>
      <c r="T89" s="1391"/>
      <c r="V89" s="1099">
        <v>600</v>
      </c>
      <c r="W89" s="1100">
        <v>477</v>
      </c>
    </row>
    <row r="90" spans="1:23" ht="15" thickBot="1">
      <c r="A90" s="1791"/>
      <c r="B90" s="1793"/>
      <c r="C90" s="1370" t="s">
        <v>24</v>
      </c>
      <c r="D90" s="1136">
        <f t="shared" si="3"/>
        <v>219.62264150943398</v>
      </c>
      <c r="E90" s="1392"/>
      <c r="F90" s="1393"/>
      <c r="G90" s="1373"/>
      <c r="H90" s="1256">
        <f t="shared" si="4"/>
        <v>219.62264150943398</v>
      </c>
      <c r="I90" s="1206">
        <v>0</v>
      </c>
      <c r="J90" s="1207">
        <f>216/477*485</f>
        <v>219.62264150943398</v>
      </c>
      <c r="K90" s="1374"/>
      <c r="L90" s="1394"/>
      <c r="M90" s="1395"/>
      <c r="N90" s="1396"/>
      <c r="O90" s="1397"/>
      <c r="P90" s="1395"/>
      <c r="Q90" s="1398"/>
      <c r="R90" s="1399"/>
      <c r="S90" s="1396"/>
      <c r="T90" s="1400"/>
      <c r="V90" s="1099">
        <v>645</v>
      </c>
      <c r="W90" s="1100">
        <v>215.99900000000002</v>
      </c>
    </row>
    <row r="91" spans="1:23" ht="14.25">
      <c r="A91" s="1794" t="s">
        <v>841</v>
      </c>
      <c r="B91" s="1796" t="s">
        <v>842</v>
      </c>
      <c r="C91" s="1401" t="s">
        <v>840</v>
      </c>
      <c r="D91" s="1187">
        <f t="shared" si="3"/>
        <v>725</v>
      </c>
      <c r="E91" s="1360"/>
      <c r="F91" s="1361"/>
      <c r="G91" s="1362"/>
      <c r="H91" s="1249">
        <f t="shared" si="4"/>
        <v>725</v>
      </c>
      <c r="I91" s="1192">
        <v>0</v>
      </c>
      <c r="J91" s="1193">
        <v>725</v>
      </c>
      <c r="K91" s="1363"/>
      <c r="L91" s="1364"/>
      <c r="M91" s="1365"/>
      <c r="N91" s="1363"/>
      <c r="O91" s="1366"/>
      <c r="P91" s="1365"/>
      <c r="Q91" s="1367"/>
      <c r="R91" s="1368"/>
      <c r="S91" s="1363"/>
      <c r="T91" s="1369"/>
      <c r="V91" s="1099">
        <v>432</v>
      </c>
      <c r="W91" s="1100">
        <v>744</v>
      </c>
    </row>
    <row r="92" spans="1:23" ht="15" thickBot="1">
      <c r="A92" s="1795"/>
      <c r="B92" s="1797"/>
      <c r="C92" s="1370" t="s">
        <v>24</v>
      </c>
      <c r="D92" s="1136">
        <f t="shared" si="3"/>
        <v>1744.483501344086</v>
      </c>
      <c r="E92" s="1371"/>
      <c r="F92" s="1372"/>
      <c r="G92" s="1373"/>
      <c r="H92" s="1256">
        <f t="shared" si="4"/>
        <v>1744.483501344086</v>
      </c>
      <c r="I92" s="1206">
        <v>0</v>
      </c>
      <c r="J92" s="1207">
        <f>1790.201/744*J91</f>
        <v>1744.483501344086</v>
      </c>
      <c r="K92" s="1374"/>
      <c r="L92" s="1375"/>
      <c r="M92" s="1376"/>
      <c r="N92" s="1374"/>
      <c r="O92" s="1377"/>
      <c r="P92" s="1376"/>
      <c r="Q92" s="1378"/>
      <c r="R92" s="1379"/>
      <c r="S92" s="1374"/>
      <c r="T92" s="1380"/>
      <c r="V92" s="1099">
        <v>1002.672</v>
      </c>
      <c r="W92" s="1100">
        <v>1790.201</v>
      </c>
    </row>
    <row r="93" spans="1:23" ht="43.5" customHeight="1" thickBot="1">
      <c r="A93" s="1402" t="s">
        <v>843</v>
      </c>
      <c r="B93" s="1403" t="s">
        <v>844</v>
      </c>
      <c r="C93" s="1402" t="s">
        <v>24</v>
      </c>
      <c r="D93" s="1404">
        <f t="shared" si="3"/>
        <v>1467.8</v>
      </c>
      <c r="E93" s="1405"/>
      <c r="F93" s="1406"/>
      <c r="G93" s="1407"/>
      <c r="H93" s="1408">
        <f t="shared" si="4"/>
        <v>1467.8</v>
      </c>
      <c r="I93" s="1409">
        <f>I94+I95</f>
        <v>0</v>
      </c>
      <c r="J93" s="1410">
        <f>J94+J95</f>
        <v>1467.8</v>
      </c>
      <c r="K93" s="1411"/>
      <c r="L93" s="1353"/>
      <c r="M93" s="1354"/>
      <c r="N93" s="1352"/>
      <c r="O93" s="1355"/>
      <c r="P93" s="1354"/>
      <c r="Q93" s="1356"/>
      <c r="R93" s="1357"/>
      <c r="S93" s="1352"/>
      <c r="T93" s="1358"/>
      <c r="V93" s="1083">
        <v>578.08</v>
      </c>
      <c r="W93" s="1412">
        <v>0</v>
      </c>
    </row>
    <row r="94" spans="1:23" ht="26.25" thickBot="1">
      <c r="A94" s="1413" t="s">
        <v>845</v>
      </c>
      <c r="B94" s="1414" t="s">
        <v>846</v>
      </c>
      <c r="C94" s="1415" t="s">
        <v>24</v>
      </c>
      <c r="D94" s="1416">
        <f t="shared" si="3"/>
        <v>0</v>
      </c>
      <c r="E94" s="1417"/>
      <c r="F94" s="1418"/>
      <c r="G94" s="1419"/>
      <c r="H94" s="1420">
        <f t="shared" si="4"/>
        <v>0</v>
      </c>
      <c r="I94" s="1421">
        <v>0</v>
      </c>
      <c r="J94" s="1422">
        <v>0</v>
      </c>
      <c r="K94" s="1423"/>
      <c r="L94" s="1424"/>
      <c r="M94" s="1425"/>
      <c r="N94" s="1426"/>
      <c r="O94" s="1427"/>
      <c r="P94" s="1425"/>
      <c r="Q94" s="1428"/>
      <c r="R94" s="1429"/>
      <c r="S94" s="1426"/>
      <c r="T94" s="1430"/>
      <c r="V94" s="1099">
        <v>0</v>
      </c>
      <c r="W94" s="1431">
        <v>0</v>
      </c>
    </row>
    <row r="95" spans="1:23" ht="26.25" thickBot="1">
      <c r="A95" s="1413" t="s">
        <v>847</v>
      </c>
      <c r="B95" s="1414" t="s">
        <v>848</v>
      </c>
      <c r="C95" s="1432" t="s">
        <v>24</v>
      </c>
      <c r="D95" s="1416">
        <f t="shared" si="3"/>
        <v>1467.8</v>
      </c>
      <c r="E95" s="1417"/>
      <c r="F95" s="1418"/>
      <c r="G95" s="1419"/>
      <c r="H95" s="1433">
        <f t="shared" si="4"/>
        <v>1467.8</v>
      </c>
      <c r="I95" s="1434">
        <v>0</v>
      </c>
      <c r="J95" s="1435">
        <v>1467.8</v>
      </c>
      <c r="K95" s="1426"/>
      <c r="L95" s="1424"/>
      <c r="M95" s="1425"/>
      <c r="N95" s="1426"/>
      <c r="O95" s="1427"/>
      <c r="P95" s="1425"/>
      <c r="Q95" s="1428"/>
      <c r="R95" s="1429"/>
      <c r="S95" s="1426"/>
      <c r="T95" s="1430"/>
      <c r="V95" s="1099">
        <v>578.08</v>
      </c>
      <c r="W95" s="1431">
        <v>0</v>
      </c>
    </row>
    <row r="96" spans="1:23" ht="26.25" thickBot="1">
      <c r="A96" s="1436" t="s">
        <v>849</v>
      </c>
      <c r="B96" s="1437" t="s">
        <v>850</v>
      </c>
      <c r="C96" s="1438" t="s">
        <v>24</v>
      </c>
      <c r="D96" s="1439">
        <f t="shared" si="3"/>
        <v>5331.208</v>
      </c>
      <c r="E96" s="1440"/>
      <c r="F96" s="1441"/>
      <c r="G96" s="1442"/>
      <c r="H96" s="1443">
        <v>5331.208</v>
      </c>
      <c r="I96" s="1444">
        <v>0</v>
      </c>
      <c r="J96" s="1443">
        <v>5331.208</v>
      </c>
      <c r="K96" s="1445"/>
      <c r="L96" s="1446"/>
      <c r="M96" s="1447"/>
      <c r="N96" s="1448"/>
      <c r="O96" s="1449"/>
      <c r="P96" s="1447"/>
      <c r="Q96" s="1450"/>
      <c r="R96" s="1451"/>
      <c r="S96" s="1448"/>
      <c r="T96" s="1452"/>
      <c r="V96" s="1115">
        <v>4224</v>
      </c>
      <c r="W96" s="1453">
        <v>3663.282</v>
      </c>
    </row>
    <row r="97" spans="1:23" ht="18.75" customHeight="1" thickBot="1">
      <c r="A97" s="1454"/>
      <c r="B97" s="1455" t="s">
        <v>851</v>
      </c>
      <c r="C97" s="1454" t="s">
        <v>24</v>
      </c>
      <c r="D97" s="1456">
        <f t="shared" si="3"/>
        <v>46049.824247540964</v>
      </c>
      <c r="E97" s="1457"/>
      <c r="F97" s="1458"/>
      <c r="G97" s="1407"/>
      <c r="H97" s="1408">
        <f>I97+J97</f>
        <v>46049.824247540964</v>
      </c>
      <c r="I97" s="1409">
        <f>I93+I86+I71+I12+I96</f>
        <v>0</v>
      </c>
      <c r="J97" s="1410">
        <f>J93+J86+J71+J12+J96</f>
        <v>46049.824247540964</v>
      </c>
      <c r="K97" s="1459"/>
      <c r="L97" s="1460"/>
      <c r="M97" s="1461"/>
      <c r="N97" s="1459"/>
      <c r="O97" s="1462"/>
      <c r="P97" s="1461"/>
      <c r="Q97" s="1463"/>
      <c r="R97" s="1464"/>
      <c r="S97" s="1459"/>
      <c r="T97" s="1465"/>
      <c r="V97" s="1083">
        <v>42239.99972749999</v>
      </c>
      <c r="W97" s="1084">
        <v>42240.065429999995</v>
      </c>
    </row>
    <row r="98" spans="1:23" ht="22.5" customHeight="1" thickBot="1">
      <c r="A98" s="1782" t="s">
        <v>852</v>
      </c>
      <c r="B98" s="1782"/>
      <c r="C98" s="1782"/>
      <c r="D98" s="1782"/>
      <c r="E98" s="1782"/>
      <c r="F98" s="1782"/>
      <c r="G98" s="1782"/>
      <c r="H98" s="1782"/>
      <c r="I98" s="1782"/>
      <c r="J98" s="1782"/>
      <c r="K98" s="1782"/>
      <c r="L98" s="1782"/>
      <c r="M98" s="1782"/>
      <c r="N98" s="1782"/>
      <c r="O98" s="1783"/>
      <c r="P98" s="1782"/>
      <c r="Q98" s="1046"/>
      <c r="R98" s="1046"/>
      <c r="S98" s="1046"/>
      <c r="T98" s="1046"/>
      <c r="V98" s="1466"/>
      <c r="W98" s="1467"/>
    </row>
    <row r="99" spans="1:23" ht="14.25">
      <c r="A99" s="1784" t="s">
        <v>71</v>
      </c>
      <c r="B99" s="1777" t="s">
        <v>853</v>
      </c>
      <c r="C99" s="1468" t="s">
        <v>145</v>
      </c>
      <c r="D99" s="1469">
        <f>I99</f>
        <v>0</v>
      </c>
      <c r="E99" s="1470"/>
      <c r="F99" s="1471"/>
      <c r="G99" s="1472"/>
      <c r="H99" s="1473">
        <f>I99+J99</f>
        <v>184</v>
      </c>
      <c r="I99" s="1474">
        <v>0</v>
      </c>
      <c r="J99" s="1475">
        <v>184</v>
      </c>
      <c r="K99" s="1476"/>
      <c r="L99" s="1468"/>
      <c r="M99" s="1359"/>
      <c r="N99" s="1477"/>
      <c r="O99" s="1478"/>
      <c r="P99" s="1479"/>
      <c r="Q99" s="1477"/>
      <c r="R99" s="1478"/>
      <c r="S99" s="1477"/>
      <c r="T99" s="1478"/>
      <c r="V99" s="1100">
        <v>0</v>
      </c>
      <c r="W99" s="1100">
        <v>313</v>
      </c>
    </row>
    <row r="100" spans="1:23" ht="15" thickBot="1">
      <c r="A100" s="1785"/>
      <c r="B100" s="1778"/>
      <c r="C100" s="1480" t="s">
        <v>24</v>
      </c>
      <c r="D100" s="1481">
        <f>I100</f>
        <v>0</v>
      </c>
      <c r="E100" s="1482"/>
      <c r="F100" s="1483"/>
      <c r="G100" s="1484"/>
      <c r="H100" s="1485">
        <f>I100+J100</f>
        <v>166.656</v>
      </c>
      <c r="I100" s="1486">
        <v>0</v>
      </c>
      <c r="J100" s="1487">
        <v>166.656</v>
      </c>
      <c r="K100" s="1488"/>
      <c r="L100" s="1480"/>
      <c r="M100" s="1489"/>
      <c r="N100" s="1490"/>
      <c r="O100" s="1491"/>
      <c r="P100" s="1492"/>
      <c r="Q100" s="1490"/>
      <c r="R100" s="1493"/>
      <c r="S100" s="1490"/>
      <c r="T100" s="1493"/>
      <c r="V100" s="1100">
        <v>0</v>
      </c>
      <c r="W100" s="1100">
        <v>208.189</v>
      </c>
    </row>
    <row r="101" spans="1:23" ht="14.25">
      <c r="A101" s="1781" t="s">
        <v>854</v>
      </c>
      <c r="B101" s="1777" t="s">
        <v>855</v>
      </c>
      <c r="C101" s="1468" t="s">
        <v>145</v>
      </c>
      <c r="D101" s="1469">
        <f aca="true" t="shared" si="5" ref="D101:D153">H101</f>
        <v>0</v>
      </c>
      <c r="E101" s="1470"/>
      <c r="F101" s="1494"/>
      <c r="G101" s="1472"/>
      <c r="H101" s="1495"/>
      <c r="I101" s="1496"/>
      <c r="J101" s="1497"/>
      <c r="K101" s="1476"/>
      <c r="L101" s="1498"/>
      <c r="M101" s="1359"/>
      <c r="N101" s="1477"/>
      <c r="O101" s="1499"/>
      <c r="P101" s="1468"/>
      <c r="Q101" s="1500"/>
      <c r="R101" s="1477"/>
      <c r="S101" s="1500"/>
      <c r="T101" s="1477"/>
      <c r="V101" s="1100">
        <v>0</v>
      </c>
      <c r="W101" s="1100">
        <v>0</v>
      </c>
    </row>
    <row r="102" spans="1:23" ht="15" thickBot="1">
      <c r="A102" s="1771"/>
      <c r="B102" s="1778"/>
      <c r="C102" s="1501" t="s">
        <v>24</v>
      </c>
      <c r="D102" s="1481">
        <f t="shared" si="5"/>
        <v>0</v>
      </c>
      <c r="E102" s="1502"/>
      <c r="F102" s="1503"/>
      <c r="G102" s="1504"/>
      <c r="H102" s="1505"/>
      <c r="I102" s="1506"/>
      <c r="J102" s="1507"/>
      <c r="K102" s="1488"/>
      <c r="L102" s="1508"/>
      <c r="M102" s="1370"/>
      <c r="N102" s="1509"/>
      <c r="O102" s="1491"/>
      <c r="P102" s="1501"/>
      <c r="Q102" s="1510"/>
      <c r="R102" s="1509"/>
      <c r="S102" s="1510"/>
      <c r="T102" s="1509"/>
      <c r="V102" s="1100">
        <v>0</v>
      </c>
      <c r="W102" s="1100">
        <v>0</v>
      </c>
    </row>
    <row r="103" spans="1:23" ht="14.25">
      <c r="A103" s="1781" t="s">
        <v>777</v>
      </c>
      <c r="B103" s="1777" t="s">
        <v>856</v>
      </c>
      <c r="C103" s="1468" t="s">
        <v>145</v>
      </c>
      <c r="D103" s="1469">
        <f t="shared" si="5"/>
        <v>0</v>
      </c>
      <c r="E103" s="1470"/>
      <c r="F103" s="1494"/>
      <c r="G103" s="1472"/>
      <c r="H103" s="1495"/>
      <c r="I103" s="1496"/>
      <c r="J103" s="1497"/>
      <c r="K103" s="1476"/>
      <c r="L103" s="1498"/>
      <c r="M103" s="1359"/>
      <c r="N103" s="1477"/>
      <c r="O103" s="1478"/>
      <c r="P103" s="1468"/>
      <c r="Q103" s="1500"/>
      <c r="R103" s="1477"/>
      <c r="S103" s="1500"/>
      <c r="T103" s="1477"/>
      <c r="V103" s="1100">
        <v>0</v>
      </c>
      <c r="W103" s="1100">
        <v>0</v>
      </c>
    </row>
    <row r="104" spans="1:23" ht="15" thickBot="1">
      <c r="A104" s="1771"/>
      <c r="B104" s="1778"/>
      <c r="C104" s="1511" t="s">
        <v>24</v>
      </c>
      <c r="D104" s="1481">
        <f t="shared" si="5"/>
        <v>0</v>
      </c>
      <c r="E104" s="1502"/>
      <c r="F104" s="1503"/>
      <c r="G104" s="1504"/>
      <c r="H104" s="1505"/>
      <c r="I104" s="1506"/>
      <c r="J104" s="1507"/>
      <c r="K104" s="1488"/>
      <c r="L104" s="1508"/>
      <c r="M104" s="1370"/>
      <c r="N104" s="1509"/>
      <c r="O104" s="1491"/>
      <c r="P104" s="1501"/>
      <c r="Q104" s="1510"/>
      <c r="R104" s="1509"/>
      <c r="S104" s="1510"/>
      <c r="T104" s="1509"/>
      <c r="V104" s="1100">
        <v>0</v>
      </c>
      <c r="W104" s="1100">
        <v>0</v>
      </c>
    </row>
    <row r="105" spans="1:23" ht="14.25">
      <c r="A105" s="1781" t="s">
        <v>780</v>
      </c>
      <c r="B105" s="1777" t="s">
        <v>857</v>
      </c>
      <c r="C105" s="1468" t="s">
        <v>756</v>
      </c>
      <c r="D105" s="1469">
        <f t="shared" si="5"/>
        <v>0</v>
      </c>
      <c r="E105" s="1512"/>
      <c r="F105" s="1513"/>
      <c r="G105" s="1514"/>
      <c r="H105" s="1495"/>
      <c r="I105" s="1496"/>
      <c r="J105" s="1497"/>
      <c r="K105" s="1476"/>
      <c r="L105" s="1515"/>
      <c r="M105" s="1401"/>
      <c r="N105" s="1516"/>
      <c r="O105" s="1499"/>
      <c r="P105" s="1517"/>
      <c r="Q105" s="1516"/>
      <c r="R105" s="1499"/>
      <c r="S105" s="1516"/>
      <c r="T105" s="1499"/>
      <c r="V105" s="1100">
        <v>0</v>
      </c>
      <c r="W105" s="1100">
        <v>0</v>
      </c>
    </row>
    <row r="106" spans="1:23" ht="15" thickBot="1">
      <c r="A106" s="1771"/>
      <c r="B106" s="1778"/>
      <c r="C106" s="1511" t="s">
        <v>24</v>
      </c>
      <c r="D106" s="1481">
        <f t="shared" si="5"/>
        <v>0</v>
      </c>
      <c r="E106" s="1502"/>
      <c r="F106" s="1518"/>
      <c r="G106" s="1519"/>
      <c r="H106" s="1505"/>
      <c r="I106" s="1506"/>
      <c r="J106" s="1507"/>
      <c r="K106" s="1488"/>
      <c r="L106" s="1511"/>
      <c r="M106" s="1520"/>
      <c r="N106" s="1509"/>
      <c r="O106" s="1521"/>
      <c r="P106" s="1522"/>
      <c r="Q106" s="1509"/>
      <c r="R106" s="1521"/>
      <c r="S106" s="1509"/>
      <c r="T106" s="1521"/>
      <c r="V106" s="1100">
        <v>0</v>
      </c>
      <c r="W106" s="1100">
        <v>0</v>
      </c>
    </row>
    <row r="107" spans="1:23" ht="14.25">
      <c r="A107" s="1781" t="s">
        <v>782</v>
      </c>
      <c r="B107" s="1777" t="s">
        <v>858</v>
      </c>
      <c r="C107" s="1468" t="s">
        <v>145</v>
      </c>
      <c r="D107" s="1469">
        <f t="shared" si="5"/>
        <v>0</v>
      </c>
      <c r="E107" s="1470"/>
      <c r="F107" s="1471"/>
      <c r="G107" s="1472"/>
      <c r="H107" s="1495"/>
      <c r="I107" s="1496"/>
      <c r="J107" s="1497"/>
      <c r="K107" s="1476"/>
      <c r="L107" s="1468"/>
      <c r="M107" s="1359"/>
      <c r="N107" s="1477"/>
      <c r="O107" s="1478"/>
      <c r="P107" s="1479"/>
      <c r="Q107" s="1477"/>
      <c r="R107" s="1478"/>
      <c r="S107" s="1477"/>
      <c r="T107" s="1478"/>
      <c r="V107" s="1100">
        <v>0</v>
      </c>
      <c r="W107" s="1100">
        <v>0</v>
      </c>
    </row>
    <row r="108" spans="1:23" ht="15" thickBot="1">
      <c r="A108" s="1771"/>
      <c r="B108" s="1778"/>
      <c r="C108" s="1480" t="s">
        <v>24</v>
      </c>
      <c r="D108" s="1481">
        <f t="shared" si="5"/>
        <v>0</v>
      </c>
      <c r="E108" s="1502"/>
      <c r="F108" s="1518"/>
      <c r="G108" s="1519"/>
      <c r="H108" s="1505"/>
      <c r="I108" s="1506"/>
      <c r="J108" s="1507"/>
      <c r="K108" s="1488"/>
      <c r="L108" s="1511"/>
      <c r="M108" s="1520"/>
      <c r="N108" s="1509"/>
      <c r="O108" s="1521"/>
      <c r="P108" s="1522"/>
      <c r="Q108" s="1509"/>
      <c r="R108" s="1521"/>
      <c r="S108" s="1509"/>
      <c r="T108" s="1521"/>
      <c r="V108" s="1100">
        <v>0</v>
      </c>
      <c r="W108" s="1100">
        <v>0</v>
      </c>
    </row>
    <row r="109" spans="1:23" ht="14.25">
      <c r="A109" s="1781" t="s">
        <v>785</v>
      </c>
      <c r="B109" s="1777" t="s">
        <v>859</v>
      </c>
      <c r="C109" s="1468" t="s">
        <v>779</v>
      </c>
      <c r="D109" s="1469">
        <f t="shared" si="5"/>
        <v>0</v>
      </c>
      <c r="E109" s="1523"/>
      <c r="F109" s="1471"/>
      <c r="G109" s="1472"/>
      <c r="H109" s="1495"/>
      <c r="I109" s="1496"/>
      <c r="J109" s="1497"/>
      <c r="K109" s="1476"/>
      <c r="L109" s="1468"/>
      <c r="M109" s="1359"/>
      <c r="N109" s="1477"/>
      <c r="O109" s="1478"/>
      <c r="P109" s="1479"/>
      <c r="Q109" s="1477"/>
      <c r="R109" s="1478"/>
      <c r="S109" s="1477"/>
      <c r="T109" s="1478"/>
      <c r="V109" s="1100">
        <v>0</v>
      </c>
      <c r="W109" s="1100">
        <v>0</v>
      </c>
    </row>
    <row r="110" spans="1:23" ht="15" thickBot="1">
      <c r="A110" s="1771"/>
      <c r="B110" s="1778"/>
      <c r="C110" s="1511" t="s">
        <v>23</v>
      </c>
      <c r="D110" s="1481">
        <f t="shared" si="5"/>
        <v>0</v>
      </c>
      <c r="E110" s="1524"/>
      <c r="F110" s="1525"/>
      <c r="G110" s="1504"/>
      <c r="H110" s="1505"/>
      <c r="I110" s="1506"/>
      <c r="J110" s="1507"/>
      <c r="K110" s="1488"/>
      <c r="L110" s="1501"/>
      <c r="M110" s="1370"/>
      <c r="N110" s="1509"/>
      <c r="O110" s="1491"/>
      <c r="P110" s="1526"/>
      <c r="Q110" s="1509"/>
      <c r="R110" s="1491"/>
      <c r="S110" s="1509"/>
      <c r="T110" s="1491"/>
      <c r="V110" s="1100">
        <v>0</v>
      </c>
      <c r="W110" s="1100">
        <v>0</v>
      </c>
    </row>
    <row r="111" spans="1:23" ht="14.25">
      <c r="A111" s="1775">
        <v>7</v>
      </c>
      <c r="B111" s="1777" t="s">
        <v>860</v>
      </c>
      <c r="C111" s="1468" t="s">
        <v>861</v>
      </c>
      <c r="D111" s="1469">
        <f t="shared" si="5"/>
        <v>0</v>
      </c>
      <c r="E111" s="1512"/>
      <c r="F111" s="1513"/>
      <c r="G111" s="1514"/>
      <c r="H111" s="1495"/>
      <c r="I111" s="1496"/>
      <c r="J111" s="1497"/>
      <c r="K111" s="1476"/>
      <c r="L111" s="1515"/>
      <c r="M111" s="1401"/>
      <c r="N111" s="1516"/>
      <c r="O111" s="1499"/>
      <c r="P111" s="1517"/>
      <c r="Q111" s="1516"/>
      <c r="R111" s="1499"/>
      <c r="S111" s="1516"/>
      <c r="T111" s="1499"/>
      <c r="V111" s="1100">
        <v>0</v>
      </c>
      <c r="W111" s="1100">
        <v>0</v>
      </c>
    </row>
    <row r="112" spans="1:23" ht="15" thickBot="1">
      <c r="A112" s="1776"/>
      <c r="B112" s="1778"/>
      <c r="C112" s="1511" t="s">
        <v>24</v>
      </c>
      <c r="D112" s="1481">
        <f t="shared" si="5"/>
        <v>0</v>
      </c>
      <c r="E112" s="1502"/>
      <c r="F112" s="1518"/>
      <c r="G112" s="1519"/>
      <c r="H112" s="1505"/>
      <c r="I112" s="1506"/>
      <c r="J112" s="1507"/>
      <c r="K112" s="1488"/>
      <c r="L112" s="1511"/>
      <c r="M112" s="1520"/>
      <c r="N112" s="1509"/>
      <c r="O112" s="1521"/>
      <c r="P112" s="1522"/>
      <c r="Q112" s="1509"/>
      <c r="R112" s="1521"/>
      <c r="S112" s="1509"/>
      <c r="T112" s="1521"/>
      <c r="V112" s="1100">
        <v>0</v>
      </c>
      <c r="W112" s="1100">
        <v>0</v>
      </c>
    </row>
    <row r="113" spans="1:23" ht="12" customHeight="1">
      <c r="A113" s="1779">
        <v>8</v>
      </c>
      <c r="B113" s="1777" t="s">
        <v>862</v>
      </c>
      <c r="C113" s="1527" t="s">
        <v>145</v>
      </c>
      <c r="D113" s="1469">
        <f t="shared" si="5"/>
        <v>0</v>
      </c>
      <c r="E113" s="1470"/>
      <c r="F113" s="1471"/>
      <c r="G113" s="1472"/>
      <c r="H113" s="1495"/>
      <c r="I113" s="1496"/>
      <c r="J113" s="1497"/>
      <c r="K113" s="1476"/>
      <c r="L113" s="1468"/>
      <c r="M113" s="1359"/>
      <c r="N113" s="1477"/>
      <c r="O113" s="1478"/>
      <c r="P113" s="1479"/>
      <c r="Q113" s="1477"/>
      <c r="R113" s="1478"/>
      <c r="S113" s="1477"/>
      <c r="T113" s="1478"/>
      <c r="V113" s="1100">
        <v>0</v>
      </c>
      <c r="W113" s="1100">
        <v>0</v>
      </c>
    </row>
    <row r="114" spans="1:23" ht="12" customHeight="1" thickBot="1">
      <c r="A114" s="1780"/>
      <c r="B114" s="1778"/>
      <c r="C114" s="1528" t="s">
        <v>24</v>
      </c>
      <c r="D114" s="1481">
        <f t="shared" si="5"/>
        <v>0</v>
      </c>
      <c r="E114" s="1502"/>
      <c r="F114" s="1518"/>
      <c r="G114" s="1519"/>
      <c r="H114" s="1505"/>
      <c r="I114" s="1506"/>
      <c r="J114" s="1507"/>
      <c r="K114" s="1488"/>
      <c r="L114" s="1511"/>
      <c r="M114" s="1520"/>
      <c r="N114" s="1509"/>
      <c r="O114" s="1521"/>
      <c r="P114" s="1522"/>
      <c r="Q114" s="1509"/>
      <c r="R114" s="1521"/>
      <c r="S114" s="1509"/>
      <c r="T114" s="1521"/>
      <c r="V114" s="1100">
        <v>0</v>
      </c>
      <c r="W114" s="1100">
        <v>0</v>
      </c>
    </row>
    <row r="115" spans="1:23" ht="12" customHeight="1">
      <c r="A115" s="1775">
        <v>9</v>
      </c>
      <c r="B115" s="1777" t="s">
        <v>863</v>
      </c>
      <c r="C115" s="1468" t="s">
        <v>864</v>
      </c>
      <c r="D115" s="1469">
        <f t="shared" si="5"/>
        <v>0</v>
      </c>
      <c r="E115" s="1470"/>
      <c r="F115" s="1471"/>
      <c r="G115" s="1472"/>
      <c r="H115" s="1495"/>
      <c r="I115" s="1496"/>
      <c r="J115" s="1497"/>
      <c r="K115" s="1476"/>
      <c r="L115" s="1468"/>
      <c r="M115" s="1359"/>
      <c r="N115" s="1477"/>
      <c r="O115" s="1478"/>
      <c r="P115" s="1479"/>
      <c r="Q115" s="1477"/>
      <c r="R115" s="1478"/>
      <c r="S115" s="1477"/>
      <c r="T115" s="1478"/>
      <c r="V115" s="1100">
        <v>0</v>
      </c>
      <c r="W115" s="1100">
        <v>0</v>
      </c>
    </row>
    <row r="116" spans="1:23" ht="12" customHeight="1" thickBot="1">
      <c r="A116" s="1776"/>
      <c r="B116" s="1778"/>
      <c r="C116" s="1511" t="s">
        <v>24</v>
      </c>
      <c r="D116" s="1481">
        <f t="shared" si="5"/>
        <v>0</v>
      </c>
      <c r="E116" s="1502"/>
      <c r="F116" s="1518"/>
      <c r="G116" s="1519"/>
      <c r="H116" s="1505"/>
      <c r="I116" s="1506"/>
      <c r="J116" s="1507"/>
      <c r="K116" s="1488"/>
      <c r="L116" s="1511"/>
      <c r="M116" s="1520"/>
      <c r="N116" s="1509"/>
      <c r="O116" s="1521"/>
      <c r="P116" s="1522"/>
      <c r="Q116" s="1509"/>
      <c r="R116" s="1521"/>
      <c r="S116" s="1509"/>
      <c r="T116" s="1521"/>
      <c r="V116" s="1100">
        <v>0</v>
      </c>
      <c r="W116" s="1100">
        <v>0</v>
      </c>
    </row>
    <row r="117" spans="1:23" ht="24.75" customHeight="1">
      <c r="A117" s="1529" t="s">
        <v>793</v>
      </c>
      <c r="B117" s="1530" t="s">
        <v>865</v>
      </c>
      <c r="C117" s="1531" t="s">
        <v>24</v>
      </c>
      <c r="D117" s="1469">
        <f t="shared" si="5"/>
        <v>0</v>
      </c>
      <c r="E117" s="1470"/>
      <c r="F117" s="1532"/>
      <c r="G117" s="1533"/>
      <c r="H117" s="1495"/>
      <c r="I117" s="1496"/>
      <c r="J117" s="1497"/>
      <c r="K117" s="1476"/>
      <c r="L117" s="1534"/>
      <c r="M117" s="1241"/>
      <c r="N117" s="1477"/>
      <c r="O117" s="1478"/>
      <c r="P117" s="1535"/>
      <c r="Q117" s="1536"/>
      <c r="R117" s="1477"/>
      <c r="S117" s="1536"/>
      <c r="T117" s="1477"/>
      <c r="V117" s="1100"/>
      <c r="W117" s="1100"/>
    </row>
    <row r="118" spans="1:23" ht="19.5" customHeight="1" thickBot="1">
      <c r="A118" s="1537" t="s">
        <v>866</v>
      </c>
      <c r="B118" s="1538" t="s">
        <v>867</v>
      </c>
      <c r="C118" s="1515" t="s">
        <v>24</v>
      </c>
      <c r="D118" s="1481">
        <f t="shared" si="5"/>
        <v>0</v>
      </c>
      <c r="E118" s="1512"/>
      <c r="F118" s="1539"/>
      <c r="G118" s="1540"/>
      <c r="H118" s="1541"/>
      <c r="I118" s="1542"/>
      <c r="J118" s="1507"/>
      <c r="K118" s="1543"/>
      <c r="L118" s="1544"/>
      <c r="M118" s="1186"/>
      <c r="N118" s="1516"/>
      <c r="O118" s="1499"/>
      <c r="P118" s="1186"/>
      <c r="Q118" s="1545"/>
      <c r="R118" s="1516"/>
      <c r="S118" s="1545"/>
      <c r="T118" s="1516"/>
      <c r="V118" s="1100"/>
      <c r="W118" s="1100"/>
    </row>
    <row r="119" spans="1:23" ht="15" thickBot="1">
      <c r="A119" s="1546" t="s">
        <v>795</v>
      </c>
      <c r="B119" s="1547" t="s">
        <v>868</v>
      </c>
      <c r="C119" s="1548" t="s">
        <v>24</v>
      </c>
      <c r="D119" s="1469">
        <f t="shared" si="5"/>
        <v>48.35</v>
      </c>
      <c r="E119" s="1549"/>
      <c r="F119" s="1550"/>
      <c r="G119" s="1551"/>
      <c r="H119" s="1552">
        <f>I119+J119</f>
        <v>48.35</v>
      </c>
      <c r="I119" s="1553"/>
      <c r="J119" s="1554">
        <v>48.35</v>
      </c>
      <c r="K119" s="1555"/>
      <c r="L119" s="1556"/>
      <c r="M119" s="1557"/>
      <c r="N119" s="1558"/>
      <c r="O119" s="1559"/>
      <c r="P119" s="1557"/>
      <c r="Q119" s="1560"/>
      <c r="R119" s="1558"/>
      <c r="S119" s="1560"/>
      <c r="T119" s="1558"/>
      <c r="V119" s="1100"/>
      <c r="W119" s="1100"/>
    </row>
    <row r="120" spans="1:23" ht="26.25" thickBot="1">
      <c r="A120" s="1413" t="s">
        <v>797</v>
      </c>
      <c r="B120" s="1414" t="s">
        <v>869</v>
      </c>
      <c r="C120" s="1561" t="s">
        <v>24</v>
      </c>
      <c r="D120" s="1469">
        <f t="shared" si="5"/>
        <v>0</v>
      </c>
      <c r="E120" s="1562"/>
      <c r="F120" s="1563"/>
      <c r="G120" s="1564"/>
      <c r="H120" s="1552"/>
      <c r="I120" s="1553"/>
      <c r="J120" s="1554">
        <v>0</v>
      </c>
      <c r="K120" s="1555"/>
      <c r="L120" s="1565"/>
      <c r="M120" s="1415"/>
      <c r="N120" s="1566"/>
      <c r="O120" s="1555"/>
      <c r="P120" s="1415"/>
      <c r="Q120" s="1567"/>
      <c r="R120" s="1566"/>
      <c r="S120" s="1567"/>
      <c r="T120" s="1566"/>
      <c r="V120" s="1100"/>
      <c r="W120" s="1100"/>
    </row>
    <row r="121" spans="1:23" ht="30" customHeight="1" thickBot="1">
      <c r="A121" s="1063">
        <v>13</v>
      </c>
      <c r="B121" s="1568" t="s">
        <v>870</v>
      </c>
      <c r="C121" s="1548" t="s">
        <v>24</v>
      </c>
      <c r="D121" s="1569">
        <f t="shared" si="5"/>
        <v>390</v>
      </c>
      <c r="E121" s="1570"/>
      <c r="F121" s="1571"/>
      <c r="G121" s="1572"/>
      <c r="H121" s="1573">
        <f>I121+J121</f>
        <v>390</v>
      </c>
      <c r="I121" s="1574"/>
      <c r="J121" s="1575">
        <v>390</v>
      </c>
      <c r="K121" s="1555"/>
      <c r="L121" s="1556"/>
      <c r="M121" s="1557"/>
      <c r="N121" s="1558"/>
      <c r="O121" s="1559"/>
      <c r="P121" s="1557"/>
      <c r="Q121" s="1560"/>
      <c r="R121" s="1558"/>
      <c r="S121" s="1560"/>
      <c r="T121" s="1558"/>
      <c r="V121" s="1100"/>
      <c r="W121" s="1100"/>
    </row>
    <row r="122" spans="1:23" ht="28.5" customHeight="1" thickBot="1">
      <c r="A122" s="1063">
        <v>14</v>
      </c>
      <c r="B122" s="1568" t="s">
        <v>871</v>
      </c>
      <c r="C122" s="1548" t="s">
        <v>24</v>
      </c>
      <c r="D122" s="1569">
        <f t="shared" si="5"/>
        <v>3500</v>
      </c>
      <c r="E122" s="1570"/>
      <c r="F122" s="1571"/>
      <c r="G122" s="1572"/>
      <c r="H122" s="1573">
        <f>I122+J122</f>
        <v>3500</v>
      </c>
      <c r="I122" s="1574"/>
      <c r="J122" s="1575">
        <v>3500</v>
      </c>
      <c r="K122" s="1555"/>
      <c r="L122" s="1556"/>
      <c r="M122" s="1557"/>
      <c r="N122" s="1558"/>
      <c r="O122" s="1559"/>
      <c r="P122" s="1557"/>
      <c r="Q122" s="1560"/>
      <c r="R122" s="1558"/>
      <c r="S122" s="1560"/>
      <c r="T122" s="1558"/>
      <c r="V122" s="1100"/>
      <c r="W122" s="1100"/>
    </row>
    <row r="123" spans="1:23" ht="20.25" customHeight="1" thickBot="1">
      <c r="A123" s="1413" t="s">
        <v>803</v>
      </c>
      <c r="B123" s="1414" t="s">
        <v>872</v>
      </c>
      <c r="C123" s="1561" t="s">
        <v>24</v>
      </c>
      <c r="D123" s="1569">
        <f t="shared" si="5"/>
        <v>54</v>
      </c>
      <c r="E123" s="1576"/>
      <c r="F123" s="1577"/>
      <c r="G123" s="1578"/>
      <c r="H123" s="1579">
        <f>I123+J123</f>
        <v>54</v>
      </c>
      <c r="I123" s="1580"/>
      <c r="J123" s="1581">
        <v>54</v>
      </c>
      <c r="K123" s="1582"/>
      <c r="L123" s="1565"/>
      <c r="M123" s="1415"/>
      <c r="N123" s="1566"/>
      <c r="O123" s="1555"/>
      <c r="P123" s="1415"/>
      <c r="Q123" s="1567"/>
      <c r="R123" s="1566"/>
      <c r="S123" s="1567"/>
      <c r="T123" s="1566"/>
      <c r="V123" s="1100"/>
      <c r="W123" s="1100"/>
    </row>
    <row r="124" spans="1:23" ht="25.5">
      <c r="A124" s="1583">
        <v>16</v>
      </c>
      <c r="B124" s="1584" t="s">
        <v>873</v>
      </c>
      <c r="C124" s="1468" t="s">
        <v>24</v>
      </c>
      <c r="D124" s="1569">
        <f t="shared" si="5"/>
        <v>5082</v>
      </c>
      <c r="E124" s="1585"/>
      <c r="F124" s="1586"/>
      <c r="G124" s="1587"/>
      <c r="H124" s="1588">
        <f>I124+J124</f>
        <v>5082</v>
      </c>
      <c r="I124" s="1589"/>
      <c r="J124" s="1590">
        <v>5082</v>
      </c>
      <c r="K124" s="1476"/>
      <c r="L124" s="1591"/>
      <c r="M124" s="1592"/>
      <c r="N124" s="1593"/>
      <c r="O124" s="1476"/>
      <c r="P124" s="1591"/>
      <c r="Q124" s="1593"/>
      <c r="R124" s="1593"/>
      <c r="S124" s="1593"/>
      <c r="T124" s="1593"/>
      <c r="V124" s="1100"/>
      <c r="W124" s="1100"/>
    </row>
    <row r="125" spans="1:23" ht="15.75">
      <c r="A125" s="1594" t="s">
        <v>874</v>
      </c>
      <c r="B125" s="1595" t="s">
        <v>875</v>
      </c>
      <c r="C125" s="1596" t="s">
        <v>23</v>
      </c>
      <c r="D125" s="1597">
        <f t="shared" si="5"/>
        <v>0</v>
      </c>
      <c r="E125" s="1598"/>
      <c r="F125" s="1599"/>
      <c r="G125" s="1600"/>
      <c r="H125" s="1601"/>
      <c r="I125" s="1602"/>
      <c r="J125" s="1603"/>
      <c r="K125" s="1604"/>
      <c r="L125" s="1605"/>
      <c r="M125" s="1162"/>
      <c r="N125" s="1606"/>
      <c r="O125" s="1604"/>
      <c r="P125" s="1605"/>
      <c r="Q125" s="1606"/>
      <c r="R125" s="1606"/>
      <c r="S125" s="1606"/>
      <c r="T125" s="1606"/>
      <c r="V125" s="1116"/>
      <c r="W125" s="1116"/>
    </row>
    <row r="126" spans="1:23" ht="14.25">
      <c r="A126" s="1767" t="s">
        <v>876</v>
      </c>
      <c r="B126" s="1769" t="s">
        <v>877</v>
      </c>
      <c r="C126" s="1607" t="s">
        <v>145</v>
      </c>
      <c r="D126" s="1608">
        <f t="shared" si="5"/>
        <v>0</v>
      </c>
      <c r="E126" s="1609"/>
      <c r="F126" s="1610"/>
      <c r="G126" s="1611"/>
      <c r="H126" s="1612"/>
      <c r="I126" s="1613"/>
      <c r="J126" s="1614"/>
      <c r="K126" s="1615"/>
      <c r="L126" s="1616"/>
      <c r="M126" s="1617"/>
      <c r="N126" s="1618"/>
      <c r="O126" s="1619"/>
      <c r="P126" s="1617"/>
      <c r="Q126" s="1618"/>
      <c r="R126" s="1618"/>
      <c r="S126" s="1618"/>
      <c r="T126" s="1618"/>
      <c r="V126" s="1100">
        <v>0</v>
      </c>
      <c r="W126" s="1100">
        <v>0</v>
      </c>
    </row>
    <row r="127" spans="1:23" ht="15" thickBot="1">
      <c r="A127" s="1771"/>
      <c r="B127" s="1772"/>
      <c r="C127" s="1501" t="s">
        <v>24</v>
      </c>
      <c r="D127" s="1620">
        <f t="shared" si="5"/>
        <v>0</v>
      </c>
      <c r="E127" s="1502"/>
      <c r="F127" s="1621"/>
      <c r="G127" s="1504"/>
      <c r="H127" s="1505"/>
      <c r="I127" s="1506"/>
      <c r="J127" s="1507"/>
      <c r="K127" s="1488"/>
      <c r="L127" s="1622"/>
      <c r="M127" s="1370"/>
      <c r="N127" s="1509"/>
      <c r="O127" s="1491"/>
      <c r="P127" s="1370"/>
      <c r="Q127" s="1509"/>
      <c r="R127" s="1509"/>
      <c r="S127" s="1509"/>
      <c r="T127" s="1509"/>
      <c r="V127" s="1100">
        <v>0</v>
      </c>
      <c r="W127" s="1100">
        <v>0</v>
      </c>
    </row>
    <row r="128" spans="1:23" ht="14.25">
      <c r="A128" s="1773" t="s">
        <v>878</v>
      </c>
      <c r="B128" s="1774" t="s">
        <v>879</v>
      </c>
      <c r="C128" s="1515" t="s">
        <v>145</v>
      </c>
      <c r="D128" s="1481">
        <f t="shared" si="5"/>
        <v>0</v>
      </c>
      <c r="E128" s="1512"/>
      <c r="F128" s="1623"/>
      <c r="G128" s="1514"/>
      <c r="H128" s="1495"/>
      <c r="I128" s="1496"/>
      <c r="J128" s="1497"/>
      <c r="K128" s="1476"/>
      <c r="L128" s="1624"/>
      <c r="M128" s="1401"/>
      <c r="N128" s="1516"/>
      <c r="O128" s="1499"/>
      <c r="P128" s="1401"/>
      <c r="Q128" s="1516"/>
      <c r="R128" s="1516"/>
      <c r="S128" s="1516"/>
      <c r="T128" s="1516"/>
      <c r="V128" s="1100">
        <v>0</v>
      </c>
      <c r="W128" s="1100">
        <v>0</v>
      </c>
    </row>
    <row r="129" spans="1:23" ht="14.25">
      <c r="A129" s="1768"/>
      <c r="B129" s="1770"/>
      <c r="C129" s="1607" t="s">
        <v>184</v>
      </c>
      <c r="D129" s="1608">
        <f t="shared" si="5"/>
        <v>0</v>
      </c>
      <c r="E129" s="1609"/>
      <c r="F129" s="1610"/>
      <c r="G129" s="1611"/>
      <c r="H129" s="1612"/>
      <c r="I129" s="1613"/>
      <c r="J129" s="1614"/>
      <c r="K129" s="1615"/>
      <c r="L129" s="1616"/>
      <c r="M129" s="1617"/>
      <c r="N129" s="1618"/>
      <c r="O129" s="1619"/>
      <c r="P129" s="1617"/>
      <c r="Q129" s="1618"/>
      <c r="R129" s="1618"/>
      <c r="S129" s="1618"/>
      <c r="T129" s="1618"/>
      <c r="V129" s="1100">
        <v>0</v>
      </c>
      <c r="W129" s="1100">
        <v>0</v>
      </c>
    </row>
    <row r="130" spans="1:23" ht="14.25">
      <c r="A130" s="1767" t="s">
        <v>880</v>
      </c>
      <c r="B130" s="1769" t="s">
        <v>881</v>
      </c>
      <c r="C130" s="1607" t="s">
        <v>145</v>
      </c>
      <c r="D130" s="1608">
        <f t="shared" si="5"/>
        <v>0</v>
      </c>
      <c r="E130" s="1512"/>
      <c r="F130" s="1610"/>
      <c r="G130" s="1611"/>
      <c r="H130" s="1612"/>
      <c r="I130" s="1613"/>
      <c r="J130" s="1614"/>
      <c r="K130" s="1615"/>
      <c r="L130" s="1616"/>
      <c r="M130" s="1617"/>
      <c r="N130" s="1618"/>
      <c r="O130" s="1619"/>
      <c r="P130" s="1617"/>
      <c r="Q130" s="1618"/>
      <c r="R130" s="1618"/>
      <c r="S130" s="1618"/>
      <c r="T130" s="1618"/>
      <c r="V130" s="1100">
        <v>0</v>
      </c>
      <c r="W130" s="1100">
        <v>0</v>
      </c>
    </row>
    <row r="131" spans="1:23" ht="14.25">
      <c r="A131" s="1768"/>
      <c r="B131" s="1770"/>
      <c r="C131" s="1607" t="s">
        <v>24</v>
      </c>
      <c r="D131" s="1608">
        <f t="shared" si="5"/>
        <v>0</v>
      </c>
      <c r="E131" s="1609"/>
      <c r="F131" s="1610"/>
      <c r="G131" s="1611"/>
      <c r="H131" s="1612"/>
      <c r="I131" s="1613"/>
      <c r="J131" s="1614"/>
      <c r="K131" s="1615"/>
      <c r="L131" s="1616"/>
      <c r="M131" s="1617"/>
      <c r="N131" s="1618"/>
      <c r="O131" s="1619"/>
      <c r="P131" s="1617"/>
      <c r="Q131" s="1618"/>
      <c r="R131" s="1618"/>
      <c r="S131" s="1618"/>
      <c r="T131" s="1618"/>
      <c r="V131" s="1100">
        <v>0</v>
      </c>
      <c r="W131" s="1100">
        <v>0</v>
      </c>
    </row>
    <row r="132" spans="1:23" ht="14.25">
      <c r="A132" s="1767" t="s">
        <v>882</v>
      </c>
      <c r="B132" s="1769" t="s">
        <v>883</v>
      </c>
      <c r="C132" s="1607" t="s">
        <v>145</v>
      </c>
      <c r="D132" s="1608">
        <f t="shared" si="5"/>
        <v>0</v>
      </c>
      <c r="E132" s="1512"/>
      <c r="F132" s="1610"/>
      <c r="G132" s="1611"/>
      <c r="H132" s="1612"/>
      <c r="I132" s="1613"/>
      <c r="J132" s="1614"/>
      <c r="K132" s="1615"/>
      <c r="L132" s="1616"/>
      <c r="M132" s="1617"/>
      <c r="N132" s="1618"/>
      <c r="O132" s="1619"/>
      <c r="P132" s="1617"/>
      <c r="Q132" s="1618"/>
      <c r="R132" s="1618"/>
      <c r="S132" s="1618"/>
      <c r="T132" s="1618"/>
      <c r="V132" s="1100">
        <v>0</v>
      </c>
      <c r="W132" s="1100">
        <v>0</v>
      </c>
    </row>
    <row r="133" spans="1:23" ht="15" thickBot="1">
      <c r="A133" s="1771"/>
      <c r="B133" s="1772"/>
      <c r="C133" s="1480" t="s">
        <v>24</v>
      </c>
      <c r="D133" s="1481">
        <f t="shared" si="5"/>
        <v>0</v>
      </c>
      <c r="E133" s="1482"/>
      <c r="F133" s="1625"/>
      <c r="G133" s="1626"/>
      <c r="H133" s="1505"/>
      <c r="I133" s="1506"/>
      <c r="J133" s="1507"/>
      <c r="K133" s="1488"/>
      <c r="L133" s="1627"/>
      <c r="M133" s="1628"/>
      <c r="N133" s="1490"/>
      <c r="O133" s="1629"/>
      <c r="P133" s="1628"/>
      <c r="Q133" s="1490"/>
      <c r="R133" s="1490"/>
      <c r="S133" s="1490"/>
      <c r="T133" s="1490"/>
      <c r="V133" s="1100">
        <v>0</v>
      </c>
      <c r="W133" s="1100">
        <v>0</v>
      </c>
    </row>
    <row r="134" spans="1:23" ht="14.25">
      <c r="A134" s="1529" t="s">
        <v>807</v>
      </c>
      <c r="B134" s="1630" t="s">
        <v>884</v>
      </c>
      <c r="C134" s="1631" t="s">
        <v>24</v>
      </c>
      <c r="D134" s="1469">
        <f t="shared" si="5"/>
        <v>2730.125</v>
      </c>
      <c r="E134" s="1632"/>
      <c r="F134" s="1471"/>
      <c r="G134" s="1494"/>
      <c r="H134" s="1633">
        <f>I134+J134</f>
        <v>2730.125</v>
      </c>
      <c r="I134" s="1634">
        <v>0</v>
      </c>
      <c r="J134" s="1635">
        <v>2730.125</v>
      </c>
      <c r="K134" s="1636"/>
      <c r="L134" s="1468"/>
      <c r="M134" s="1468"/>
      <c r="N134" s="1637"/>
      <c r="O134" s="1638"/>
      <c r="P134" s="1468"/>
      <c r="Q134" s="1638"/>
      <c r="R134" s="1637"/>
      <c r="S134" s="1638"/>
      <c r="T134" s="1637"/>
      <c r="V134" s="1100">
        <v>1915.6590218181818</v>
      </c>
      <c r="W134" s="1100">
        <v>2731.8469109999996</v>
      </c>
    </row>
    <row r="135" spans="1:23" ht="15" thickBot="1">
      <c r="A135" s="1639" t="s">
        <v>885</v>
      </c>
      <c r="B135" s="1640" t="s">
        <v>886</v>
      </c>
      <c r="C135" s="1641" t="s">
        <v>24</v>
      </c>
      <c r="D135" s="1481">
        <f t="shared" si="5"/>
        <v>0</v>
      </c>
      <c r="E135" s="1642"/>
      <c r="F135" s="1525"/>
      <c r="G135" s="1503"/>
      <c r="H135" s="1485"/>
      <c r="I135" s="1486">
        <v>0</v>
      </c>
      <c r="J135" s="1643"/>
      <c r="K135" s="1644"/>
      <c r="L135" s="1501"/>
      <c r="M135" s="1501"/>
      <c r="N135" s="1645"/>
      <c r="O135" s="1644"/>
      <c r="P135" s="1501"/>
      <c r="Q135" s="1644"/>
      <c r="R135" s="1645"/>
      <c r="S135" s="1644"/>
      <c r="T135" s="1645"/>
      <c r="V135" s="1100">
        <v>0</v>
      </c>
      <c r="W135" s="1100">
        <v>0</v>
      </c>
    </row>
    <row r="136" spans="1:23" ht="14.25">
      <c r="A136" s="1646" t="s">
        <v>810</v>
      </c>
      <c r="B136" s="1647" t="s">
        <v>887</v>
      </c>
      <c r="C136" s="1648" t="s">
        <v>145</v>
      </c>
      <c r="D136" s="1649">
        <f t="shared" si="5"/>
        <v>11635</v>
      </c>
      <c r="E136" s="1650"/>
      <c r="F136" s="1650"/>
      <c r="G136" s="1650"/>
      <c r="H136" s="1651">
        <f>I136+J136</f>
        <v>11635</v>
      </c>
      <c r="I136" s="1652">
        <f>I138+I140+I142+I144+I146+I148+I150+I152</f>
        <v>0</v>
      </c>
      <c r="J136" s="1653">
        <f>J138+J140+J142+J144+J146+J148+J150+J152</f>
        <v>11635</v>
      </c>
      <c r="K136" s="1654"/>
      <c r="L136" s="1655"/>
      <c r="M136" s="1655"/>
      <c r="N136" s="1655"/>
      <c r="O136" s="1656"/>
      <c r="P136" s="1655"/>
      <c r="Q136" s="1655"/>
      <c r="R136" s="1655"/>
      <c r="S136" s="1655"/>
      <c r="T136" s="1655"/>
      <c r="V136" s="1116">
        <v>12088</v>
      </c>
      <c r="W136" s="1116">
        <v>11214</v>
      </c>
    </row>
    <row r="137" spans="1:23" ht="14.25">
      <c r="A137" s="1594"/>
      <c r="B137" s="1657" t="s">
        <v>888</v>
      </c>
      <c r="C137" s="1596" t="s">
        <v>24</v>
      </c>
      <c r="D137" s="1597">
        <f t="shared" si="5"/>
        <v>1147.999688624168</v>
      </c>
      <c r="E137" s="1599"/>
      <c r="F137" s="1599"/>
      <c r="G137" s="1599"/>
      <c r="H137" s="1658">
        <f aca="true" t="shared" si="6" ref="H137:H151">I137+J137</f>
        <v>1147.999688624168</v>
      </c>
      <c r="I137" s="1659">
        <f>I139+I141+I143+I145+I147+I149+I151+I153</f>
        <v>0</v>
      </c>
      <c r="J137" s="1660">
        <f>J139+J141+J143+J145+J147+J149+J151+J153</f>
        <v>1147.999688624168</v>
      </c>
      <c r="K137" s="1661"/>
      <c r="L137" s="1662"/>
      <c r="M137" s="1605"/>
      <c r="N137" s="1605"/>
      <c r="O137" s="1663"/>
      <c r="P137" s="1605"/>
      <c r="Q137" s="1605"/>
      <c r="R137" s="1605"/>
      <c r="S137" s="1605"/>
      <c r="T137" s="1605"/>
      <c r="V137" s="1116">
        <v>2031.7973840000002</v>
      </c>
      <c r="W137" s="1116">
        <v>1105.06831</v>
      </c>
    </row>
    <row r="138" spans="1:23" ht="11.25" customHeight="1">
      <c r="A138" s="1767" t="s">
        <v>889</v>
      </c>
      <c r="B138" s="1769" t="s">
        <v>890</v>
      </c>
      <c r="C138" s="1607" t="s">
        <v>145</v>
      </c>
      <c r="D138" s="1608">
        <f t="shared" si="5"/>
        <v>90</v>
      </c>
      <c r="E138" s="1512"/>
      <c r="F138" s="1611"/>
      <c r="G138" s="1664"/>
      <c r="H138" s="1633">
        <f t="shared" si="6"/>
        <v>90</v>
      </c>
      <c r="I138" s="1634">
        <v>0</v>
      </c>
      <c r="J138" s="1665">
        <v>90</v>
      </c>
      <c r="K138" s="1666"/>
      <c r="L138" s="1617"/>
      <c r="M138" s="1618"/>
      <c r="N138" s="1618"/>
      <c r="O138" s="1619"/>
      <c r="P138" s="1618"/>
      <c r="Q138" s="1618"/>
      <c r="R138" s="1618"/>
      <c r="S138" s="1618"/>
      <c r="T138" s="1618"/>
      <c r="V138" s="1100">
        <v>223</v>
      </c>
      <c r="W138" s="1100">
        <v>82</v>
      </c>
    </row>
    <row r="139" spans="1:23" ht="11.25" customHeight="1">
      <c r="A139" s="1768"/>
      <c r="B139" s="1770"/>
      <c r="C139" s="1607" t="s">
        <v>24</v>
      </c>
      <c r="D139" s="1608">
        <f t="shared" si="5"/>
        <v>53.02865853658537</v>
      </c>
      <c r="E139" s="1609"/>
      <c r="F139" s="1611"/>
      <c r="G139" s="1664"/>
      <c r="H139" s="1667">
        <f t="shared" si="6"/>
        <v>53.02865853658537</v>
      </c>
      <c r="I139" s="1668">
        <v>0</v>
      </c>
      <c r="J139" s="1665">
        <f>48.315/82*90</f>
        <v>53.02865853658537</v>
      </c>
      <c r="K139" s="1615"/>
      <c r="L139" s="1617"/>
      <c r="M139" s="1618"/>
      <c r="N139" s="1618"/>
      <c r="O139" s="1619"/>
      <c r="P139" s="1618"/>
      <c r="Q139" s="1618"/>
      <c r="R139" s="1618"/>
      <c r="S139" s="1618"/>
      <c r="T139" s="1618"/>
      <c r="V139" s="1100">
        <v>112.052594</v>
      </c>
      <c r="W139" s="1100">
        <v>48.315</v>
      </c>
    </row>
    <row r="140" spans="1:23" ht="11.25" customHeight="1">
      <c r="A140" s="1767" t="s">
        <v>891</v>
      </c>
      <c r="B140" s="1769" t="s">
        <v>892</v>
      </c>
      <c r="C140" s="1607" t="s">
        <v>145</v>
      </c>
      <c r="D140" s="1608">
        <f t="shared" si="5"/>
        <v>0</v>
      </c>
      <c r="E140" s="1609"/>
      <c r="F140" s="1611"/>
      <c r="G140" s="1664"/>
      <c r="H140" s="1667"/>
      <c r="I140" s="1668"/>
      <c r="J140" s="1665"/>
      <c r="K140" s="1615"/>
      <c r="L140" s="1617"/>
      <c r="M140" s="1618"/>
      <c r="N140" s="1618"/>
      <c r="O140" s="1619"/>
      <c r="P140" s="1618"/>
      <c r="Q140" s="1618"/>
      <c r="R140" s="1618"/>
      <c r="S140" s="1618"/>
      <c r="T140" s="1618"/>
      <c r="V140" s="1100">
        <v>0</v>
      </c>
      <c r="W140" s="1100">
        <v>0</v>
      </c>
    </row>
    <row r="141" spans="1:23" ht="11.25" customHeight="1">
      <c r="A141" s="1768"/>
      <c r="B141" s="1770"/>
      <c r="C141" s="1607" t="s">
        <v>24</v>
      </c>
      <c r="D141" s="1608">
        <f t="shared" si="5"/>
        <v>0</v>
      </c>
      <c r="E141" s="1609"/>
      <c r="F141" s="1611"/>
      <c r="G141" s="1664"/>
      <c r="H141" s="1667"/>
      <c r="I141" s="1668"/>
      <c r="J141" s="1665"/>
      <c r="K141" s="1615"/>
      <c r="L141" s="1617"/>
      <c r="M141" s="1618"/>
      <c r="N141" s="1618"/>
      <c r="O141" s="1619"/>
      <c r="P141" s="1618"/>
      <c r="Q141" s="1618"/>
      <c r="R141" s="1618"/>
      <c r="S141" s="1618"/>
      <c r="T141" s="1618"/>
      <c r="V141" s="1100">
        <v>0</v>
      </c>
      <c r="W141" s="1100">
        <v>0</v>
      </c>
    </row>
    <row r="142" spans="1:23" ht="11.25" customHeight="1">
      <c r="A142" s="1767" t="s">
        <v>893</v>
      </c>
      <c r="B142" s="1769" t="s">
        <v>894</v>
      </c>
      <c r="C142" s="1607" t="s">
        <v>145</v>
      </c>
      <c r="D142" s="1608">
        <f t="shared" si="5"/>
        <v>0</v>
      </c>
      <c r="E142" s="1609"/>
      <c r="F142" s="1611"/>
      <c r="G142" s="1664"/>
      <c r="H142" s="1667"/>
      <c r="I142" s="1668"/>
      <c r="J142" s="1665"/>
      <c r="K142" s="1615"/>
      <c r="L142" s="1617"/>
      <c r="M142" s="1618"/>
      <c r="N142" s="1618"/>
      <c r="O142" s="1619"/>
      <c r="P142" s="1618"/>
      <c r="Q142" s="1618"/>
      <c r="R142" s="1618"/>
      <c r="S142" s="1618"/>
      <c r="T142" s="1618"/>
      <c r="V142" s="1100">
        <v>0</v>
      </c>
      <c r="W142" s="1100">
        <v>0</v>
      </c>
    </row>
    <row r="143" spans="1:23" ht="11.25" customHeight="1">
      <c r="A143" s="1768"/>
      <c r="B143" s="1770"/>
      <c r="C143" s="1607" t="s">
        <v>24</v>
      </c>
      <c r="D143" s="1608">
        <f t="shared" si="5"/>
        <v>0</v>
      </c>
      <c r="E143" s="1609"/>
      <c r="F143" s="1611"/>
      <c r="G143" s="1664"/>
      <c r="H143" s="1667"/>
      <c r="I143" s="1668"/>
      <c r="J143" s="1665"/>
      <c r="K143" s="1615"/>
      <c r="L143" s="1617"/>
      <c r="M143" s="1618"/>
      <c r="N143" s="1618"/>
      <c r="O143" s="1619"/>
      <c r="P143" s="1618"/>
      <c r="Q143" s="1618"/>
      <c r="R143" s="1618"/>
      <c r="S143" s="1618"/>
      <c r="T143" s="1618"/>
      <c r="V143" s="1100">
        <v>0</v>
      </c>
      <c r="W143" s="1100">
        <v>0</v>
      </c>
    </row>
    <row r="144" spans="1:23" ht="14.25">
      <c r="A144" s="1767" t="s">
        <v>895</v>
      </c>
      <c r="B144" s="1769" t="s">
        <v>896</v>
      </c>
      <c r="C144" s="1607" t="s">
        <v>145</v>
      </c>
      <c r="D144" s="1608">
        <f t="shared" si="5"/>
        <v>105</v>
      </c>
      <c r="E144" s="1512"/>
      <c r="F144" s="1611"/>
      <c r="G144" s="1664"/>
      <c r="H144" s="1667">
        <f t="shared" si="6"/>
        <v>105</v>
      </c>
      <c r="I144" s="1668">
        <v>0</v>
      </c>
      <c r="J144" s="1665">
        <v>105</v>
      </c>
      <c r="K144" s="1666"/>
      <c r="L144" s="1617"/>
      <c r="M144" s="1618"/>
      <c r="N144" s="1618"/>
      <c r="O144" s="1619"/>
      <c r="P144" s="1618"/>
      <c r="Q144" s="1618"/>
      <c r="R144" s="1618"/>
      <c r="S144" s="1618"/>
      <c r="T144" s="1618"/>
      <c r="V144" s="1100">
        <v>905</v>
      </c>
      <c r="W144" s="1100">
        <v>88</v>
      </c>
    </row>
    <row r="145" spans="1:23" ht="14.25">
      <c r="A145" s="1768"/>
      <c r="B145" s="1770"/>
      <c r="C145" s="1607" t="s">
        <v>24</v>
      </c>
      <c r="D145" s="1608">
        <f t="shared" si="5"/>
        <v>26.535170454545455</v>
      </c>
      <c r="E145" s="1482"/>
      <c r="F145" s="1611"/>
      <c r="G145" s="1669"/>
      <c r="H145" s="1667">
        <f t="shared" si="6"/>
        <v>26.535170454545455</v>
      </c>
      <c r="I145" s="1668">
        <v>0</v>
      </c>
      <c r="J145" s="1665">
        <f>22.239/88*105</f>
        <v>26.535170454545455</v>
      </c>
      <c r="K145" s="1670"/>
      <c r="L145" s="1617"/>
      <c r="M145" s="1490"/>
      <c r="N145" s="1490"/>
      <c r="O145" s="1629"/>
      <c r="P145" s="1490"/>
      <c r="Q145" s="1490"/>
      <c r="R145" s="1490"/>
      <c r="S145" s="1490"/>
      <c r="T145" s="1490"/>
      <c r="V145" s="1100">
        <v>287.12935</v>
      </c>
      <c r="W145" s="1100">
        <v>22.239</v>
      </c>
    </row>
    <row r="146" spans="1:23" ht="14.25">
      <c r="A146" s="1767" t="s">
        <v>897</v>
      </c>
      <c r="B146" s="1769" t="s">
        <v>898</v>
      </c>
      <c r="C146" s="1607" t="s">
        <v>145</v>
      </c>
      <c r="D146" s="1608">
        <f t="shared" si="5"/>
        <v>9520</v>
      </c>
      <c r="E146" s="1609"/>
      <c r="F146" s="1611"/>
      <c r="G146" s="1664"/>
      <c r="H146" s="1667">
        <f t="shared" si="6"/>
        <v>9520</v>
      </c>
      <c r="I146" s="1668">
        <v>0</v>
      </c>
      <c r="J146" s="1665">
        <v>9520</v>
      </c>
      <c r="K146" s="1615"/>
      <c r="L146" s="1617"/>
      <c r="M146" s="1618"/>
      <c r="N146" s="1618"/>
      <c r="O146" s="1619"/>
      <c r="P146" s="1618"/>
      <c r="Q146" s="1618"/>
      <c r="R146" s="1618"/>
      <c r="S146" s="1618"/>
      <c r="T146" s="1618"/>
      <c r="V146" s="1100">
        <v>8500</v>
      </c>
      <c r="W146" s="1100">
        <v>9159</v>
      </c>
    </row>
    <row r="147" spans="1:23" ht="14.25">
      <c r="A147" s="1768"/>
      <c r="B147" s="1770"/>
      <c r="C147" s="1607" t="s">
        <v>24</v>
      </c>
      <c r="D147" s="1608">
        <f t="shared" si="5"/>
        <v>730.1285991920515</v>
      </c>
      <c r="E147" s="1609"/>
      <c r="F147" s="1611"/>
      <c r="G147" s="1664"/>
      <c r="H147" s="1667">
        <f t="shared" si="6"/>
        <v>730.1285991920515</v>
      </c>
      <c r="I147" s="1668">
        <v>0</v>
      </c>
      <c r="J147" s="1665">
        <f>702.442/9159*9520</f>
        <v>730.1285991920515</v>
      </c>
      <c r="K147" s="1615"/>
      <c r="L147" s="1671"/>
      <c r="M147" s="1618"/>
      <c r="N147" s="1618"/>
      <c r="O147" s="1619"/>
      <c r="P147" s="1618"/>
      <c r="Q147" s="1618"/>
      <c r="R147" s="1618"/>
      <c r="S147" s="1618"/>
      <c r="T147" s="1618"/>
      <c r="V147" s="1100">
        <v>1018.13</v>
      </c>
      <c r="W147" s="1100">
        <v>702.442</v>
      </c>
    </row>
    <row r="148" spans="1:23" ht="14.25">
      <c r="A148" s="1767" t="s">
        <v>899</v>
      </c>
      <c r="B148" s="1769" t="s">
        <v>900</v>
      </c>
      <c r="C148" s="1607" t="s">
        <v>145</v>
      </c>
      <c r="D148" s="1608">
        <f t="shared" si="5"/>
        <v>610</v>
      </c>
      <c r="E148" s="1512"/>
      <c r="F148" s="1611"/>
      <c r="G148" s="1664"/>
      <c r="H148" s="1667">
        <f t="shared" si="6"/>
        <v>610</v>
      </c>
      <c r="I148" s="1668">
        <v>0</v>
      </c>
      <c r="J148" s="1665">
        <v>610</v>
      </c>
      <c r="K148" s="1666"/>
      <c r="L148" s="1617"/>
      <c r="M148" s="1618"/>
      <c r="N148" s="1618"/>
      <c r="O148" s="1619"/>
      <c r="P148" s="1618"/>
      <c r="Q148" s="1618"/>
      <c r="R148" s="1618"/>
      <c r="S148" s="1618"/>
      <c r="T148" s="1618"/>
      <c r="V148" s="1100">
        <v>520</v>
      </c>
      <c r="W148" s="1100">
        <v>600</v>
      </c>
    </row>
    <row r="149" spans="1:23" ht="14.25">
      <c r="A149" s="1768"/>
      <c r="B149" s="1770"/>
      <c r="C149" s="1607" t="s">
        <v>24</v>
      </c>
      <c r="D149" s="1608">
        <f t="shared" si="5"/>
        <v>82.13446666666667</v>
      </c>
      <c r="E149" s="1482"/>
      <c r="F149" s="1611"/>
      <c r="G149" s="1664"/>
      <c r="H149" s="1667">
        <f t="shared" si="6"/>
        <v>82.13446666666667</v>
      </c>
      <c r="I149" s="1668">
        <v>0</v>
      </c>
      <c r="J149" s="1665">
        <f>80.788/600*610</f>
        <v>82.13446666666667</v>
      </c>
      <c r="K149" s="1670"/>
      <c r="L149" s="1617"/>
      <c r="M149" s="1618"/>
      <c r="N149" s="1618"/>
      <c r="O149" s="1619"/>
      <c r="P149" s="1618"/>
      <c r="Q149" s="1618"/>
      <c r="R149" s="1618"/>
      <c r="S149" s="1618"/>
      <c r="T149" s="1618"/>
      <c r="V149" s="1100">
        <v>166.15143999999998</v>
      </c>
      <c r="W149" s="1100">
        <v>80.78831000000001</v>
      </c>
    </row>
    <row r="150" spans="1:23" ht="14.25">
      <c r="A150" s="1767" t="s">
        <v>901</v>
      </c>
      <c r="B150" s="1769" t="s">
        <v>902</v>
      </c>
      <c r="C150" s="1607" t="s">
        <v>145</v>
      </c>
      <c r="D150" s="1608">
        <f t="shared" si="5"/>
        <v>1310</v>
      </c>
      <c r="E150" s="1609"/>
      <c r="F150" s="1611"/>
      <c r="G150" s="1664"/>
      <c r="H150" s="1667">
        <f t="shared" si="6"/>
        <v>1310</v>
      </c>
      <c r="I150" s="1668">
        <v>0</v>
      </c>
      <c r="J150" s="1665">
        <v>1310</v>
      </c>
      <c r="K150" s="1615"/>
      <c r="L150" s="1617"/>
      <c r="M150" s="1618"/>
      <c r="N150" s="1618"/>
      <c r="O150" s="1619"/>
      <c r="P150" s="1618"/>
      <c r="Q150" s="1618"/>
      <c r="R150" s="1618"/>
      <c r="S150" s="1618"/>
      <c r="T150" s="1618"/>
      <c r="V150" s="1100">
        <v>1940</v>
      </c>
      <c r="W150" s="1100">
        <v>1285</v>
      </c>
    </row>
    <row r="151" spans="1:23" ht="14.25">
      <c r="A151" s="1768"/>
      <c r="B151" s="1770"/>
      <c r="C151" s="1607" t="s">
        <v>24</v>
      </c>
      <c r="D151" s="1608">
        <f t="shared" si="5"/>
        <v>256.1727937743191</v>
      </c>
      <c r="E151" s="1609"/>
      <c r="F151" s="1611"/>
      <c r="G151" s="1664"/>
      <c r="H151" s="1667">
        <f t="shared" si="6"/>
        <v>256.1727937743191</v>
      </c>
      <c r="I151" s="1668">
        <v>0</v>
      </c>
      <c r="J151" s="1665">
        <f>251.284/1285*1310</f>
        <v>256.1727937743191</v>
      </c>
      <c r="K151" s="1615"/>
      <c r="L151" s="1617"/>
      <c r="M151" s="1618"/>
      <c r="N151" s="1618"/>
      <c r="O151" s="1619"/>
      <c r="P151" s="1618"/>
      <c r="Q151" s="1618"/>
      <c r="R151" s="1618"/>
      <c r="S151" s="1618"/>
      <c r="T151" s="1618"/>
      <c r="V151" s="1100">
        <v>448.334</v>
      </c>
      <c r="W151" s="1100">
        <v>251.284</v>
      </c>
    </row>
    <row r="152" spans="1:23" ht="14.25">
      <c r="A152" s="1767" t="s">
        <v>903</v>
      </c>
      <c r="B152" s="1769" t="s">
        <v>904</v>
      </c>
      <c r="C152" s="1607" t="s">
        <v>145</v>
      </c>
      <c r="D152" s="1608">
        <f t="shared" si="5"/>
        <v>0</v>
      </c>
      <c r="E152" s="1512"/>
      <c r="F152" s="1611"/>
      <c r="G152" s="1664"/>
      <c r="H152" s="1612"/>
      <c r="I152" s="1613"/>
      <c r="J152" s="1665"/>
      <c r="K152" s="1666"/>
      <c r="L152" s="1617"/>
      <c r="M152" s="1618"/>
      <c r="N152" s="1618"/>
      <c r="O152" s="1619"/>
      <c r="P152" s="1618"/>
      <c r="Q152" s="1618"/>
      <c r="R152" s="1618"/>
      <c r="S152" s="1618"/>
      <c r="T152" s="1618"/>
      <c r="V152" s="1100">
        <v>0</v>
      </c>
      <c r="W152" s="1100">
        <v>0</v>
      </c>
    </row>
    <row r="153" spans="1:23" ht="15" thickBot="1">
      <c r="A153" s="1771"/>
      <c r="B153" s="1772"/>
      <c r="C153" s="1501" t="s">
        <v>24</v>
      </c>
      <c r="D153" s="1620">
        <f t="shared" si="5"/>
        <v>0</v>
      </c>
      <c r="E153" s="1502"/>
      <c r="F153" s="1504"/>
      <c r="G153" s="1672"/>
      <c r="H153" s="1505"/>
      <c r="I153" s="1506"/>
      <c r="J153" s="1487"/>
      <c r="K153" s="1488"/>
      <c r="L153" s="1673"/>
      <c r="M153" s="1509"/>
      <c r="N153" s="1509"/>
      <c r="O153" s="1491"/>
      <c r="P153" s="1509"/>
      <c r="Q153" s="1509"/>
      <c r="R153" s="1509"/>
      <c r="S153" s="1509"/>
      <c r="T153" s="1509"/>
      <c r="V153" s="1100">
        <v>0</v>
      </c>
      <c r="W153" s="1100">
        <v>0</v>
      </c>
    </row>
    <row r="154" spans="1:20" ht="12.75">
      <c r="A154" s="1046"/>
      <c r="B154" s="1046"/>
      <c r="C154" s="1046"/>
      <c r="D154" s="1674"/>
      <c r="E154" s="1674"/>
      <c r="F154" s="1046"/>
      <c r="G154" s="1046"/>
      <c r="H154" s="1046"/>
      <c r="I154" s="1046"/>
      <c r="J154" s="1046"/>
      <c r="K154" s="1674"/>
      <c r="L154" s="1046"/>
      <c r="M154" s="1046"/>
      <c r="N154" s="1674"/>
      <c r="O154" s="1674"/>
      <c r="P154" s="1046"/>
      <c r="Q154" s="1674"/>
      <c r="R154" s="1674"/>
      <c r="S154" s="1674"/>
      <c r="T154" s="1674"/>
    </row>
    <row r="155" spans="1:20" ht="12.75">
      <c r="A155" s="1046"/>
      <c r="B155" s="1046"/>
      <c r="C155" s="1046"/>
      <c r="D155" s="1674"/>
      <c r="E155" s="1674"/>
      <c r="F155" s="1046"/>
      <c r="G155" s="1046"/>
      <c r="H155" s="1046"/>
      <c r="I155" s="1046"/>
      <c r="J155" s="1046"/>
      <c r="K155" s="1674"/>
      <c r="L155" s="1046"/>
      <c r="M155" s="1046"/>
      <c r="N155" s="1674"/>
      <c r="O155" s="1674"/>
      <c r="P155" s="1046"/>
      <c r="Q155" s="1674"/>
      <c r="R155" s="1674"/>
      <c r="S155" s="1674"/>
      <c r="T155" s="1674"/>
    </row>
    <row r="156" spans="1:20" ht="15.75">
      <c r="A156" s="1046"/>
      <c r="B156" s="1765" t="s">
        <v>905</v>
      </c>
      <c r="C156" s="1765"/>
      <c r="D156" s="1675"/>
      <c r="E156" s="1675"/>
      <c r="F156" s="1675"/>
      <c r="G156" s="1675"/>
      <c r="H156" s="1675"/>
      <c r="I156" s="1675" t="s">
        <v>906</v>
      </c>
      <c r="J156" s="1675"/>
      <c r="K156" s="1675"/>
      <c r="L156" s="1046"/>
      <c r="M156" s="1046"/>
      <c r="N156" s="1674"/>
      <c r="O156" s="1674"/>
      <c r="P156" s="1046"/>
      <c r="Q156" s="1674"/>
      <c r="R156" s="1674"/>
      <c r="S156" s="1674"/>
      <c r="T156" s="1674"/>
    </row>
    <row r="157" spans="1:20" ht="15.75">
      <c r="A157" s="1046"/>
      <c r="B157" s="1676"/>
      <c r="C157" s="333"/>
      <c r="D157" s="1675"/>
      <c r="E157" s="1675"/>
      <c r="F157" s="1675"/>
      <c r="G157" s="1675"/>
      <c r="H157" s="1675"/>
      <c r="I157" s="1675"/>
      <c r="J157" s="1675"/>
      <c r="K157" s="1675"/>
      <c r="L157" s="1046"/>
      <c r="M157" s="1046"/>
      <c r="N157" s="1674"/>
      <c r="O157" s="1674"/>
      <c r="P157" s="1046"/>
      <c r="Q157" s="1674"/>
      <c r="R157" s="1674"/>
      <c r="S157" s="1674"/>
      <c r="T157" s="1674"/>
    </row>
    <row r="158" spans="1:20" ht="15.75">
      <c r="A158" s="1046"/>
      <c r="B158" s="1765" t="s">
        <v>907</v>
      </c>
      <c r="C158" s="1765"/>
      <c r="D158" s="1677"/>
      <c r="E158" s="1677"/>
      <c r="F158" s="1677"/>
      <c r="G158" s="1677"/>
      <c r="H158" s="1677"/>
      <c r="I158" s="1675" t="s">
        <v>908</v>
      </c>
      <c r="J158" s="1675"/>
      <c r="K158" s="1677"/>
      <c r="L158" s="1046"/>
      <c r="M158" s="1046"/>
      <c r="N158" s="1674"/>
      <c r="O158" s="1674"/>
      <c r="P158" s="1046"/>
      <c r="Q158" s="1674"/>
      <c r="R158" s="1674"/>
      <c r="S158" s="1674"/>
      <c r="T158" s="1674"/>
    </row>
    <row r="159" spans="1:20" ht="15.75">
      <c r="A159" s="1046"/>
      <c r="B159" s="1678"/>
      <c r="C159" s="1677"/>
      <c r="D159" s="1679"/>
      <c r="E159" s="1679"/>
      <c r="F159" s="1679"/>
      <c r="G159" s="1679"/>
      <c r="H159" s="1679"/>
      <c r="I159" s="1679"/>
      <c r="J159" s="1679"/>
      <c r="K159" s="1679"/>
      <c r="L159" s="1046"/>
      <c r="M159" s="1046"/>
      <c r="N159" s="1674"/>
      <c r="O159" s="1674"/>
      <c r="P159" s="1046"/>
      <c r="Q159" s="1674"/>
      <c r="R159" s="1674"/>
      <c r="S159" s="1674"/>
      <c r="T159" s="1674"/>
    </row>
    <row r="160" spans="1:20" ht="15.75">
      <c r="A160" s="1046"/>
      <c r="B160" s="1766" t="s">
        <v>37</v>
      </c>
      <c r="C160" s="1766"/>
      <c r="D160" s="1680"/>
      <c r="E160" s="1680"/>
      <c r="F160" s="1680"/>
      <c r="G160" s="1680"/>
      <c r="H160" s="1680"/>
      <c r="I160" s="1049" t="s">
        <v>909</v>
      </c>
      <c r="J160" s="1680"/>
      <c r="K160" s="1680"/>
      <c r="L160" s="1046"/>
      <c r="M160" s="1046"/>
      <c r="N160" s="1674"/>
      <c r="O160" s="1674"/>
      <c r="P160" s="1046"/>
      <c r="Q160" s="1674"/>
      <c r="R160" s="1674"/>
      <c r="S160" s="1674"/>
      <c r="T160" s="1674"/>
    </row>
    <row r="161" spans="1:20" ht="15.75">
      <c r="A161" s="1046"/>
      <c r="B161" s="1678"/>
      <c r="C161" s="333"/>
      <c r="D161" s="333"/>
      <c r="E161" s="333"/>
      <c r="F161" s="333"/>
      <c r="G161" s="333"/>
      <c r="H161" s="333"/>
      <c r="I161" s="333"/>
      <c r="J161" s="333"/>
      <c r="K161" s="333"/>
      <c r="L161" s="1046"/>
      <c r="M161" s="1046"/>
      <c r="N161" s="1674"/>
      <c r="O161" s="1674"/>
      <c r="P161" s="1046"/>
      <c r="Q161" s="1674"/>
      <c r="R161" s="1674"/>
      <c r="S161" s="1674"/>
      <c r="T161" s="1674"/>
    </row>
    <row r="162" spans="1:20" ht="12.75">
      <c r="A162" s="1046"/>
      <c r="B162" s="1046"/>
      <c r="C162" s="1046"/>
      <c r="D162" s="1674"/>
      <c r="E162" s="1674"/>
      <c r="F162" s="1046"/>
      <c r="G162" s="1046"/>
      <c r="H162" s="1046"/>
      <c r="I162" s="1046"/>
      <c r="J162" s="1046"/>
      <c r="K162" s="1674"/>
      <c r="L162" s="1046"/>
      <c r="M162" s="1046"/>
      <c r="N162" s="1674"/>
      <c r="O162" s="1674"/>
      <c r="P162" s="1046"/>
      <c r="Q162" s="1674"/>
      <c r="R162" s="1674"/>
      <c r="S162" s="1674"/>
      <c r="T162" s="1674"/>
    </row>
  </sheetData>
  <mergeCells count="132">
    <mergeCell ref="Q9:R10"/>
    <mergeCell ref="S9:T10"/>
    <mergeCell ref="V9:V11"/>
    <mergeCell ref="W9:W11"/>
    <mergeCell ref="E10:G10"/>
    <mergeCell ref="H10:J10"/>
    <mergeCell ref="K10:M10"/>
    <mergeCell ref="A9:A11"/>
    <mergeCell ref="B9:B11"/>
    <mergeCell ref="C9:C11"/>
    <mergeCell ref="D9:D11"/>
    <mergeCell ref="E9:M9"/>
    <mergeCell ref="N9:P10"/>
    <mergeCell ref="A23:A24"/>
    <mergeCell ref="B23:B24"/>
    <mergeCell ref="A25:A26"/>
    <mergeCell ref="B25:B26"/>
    <mergeCell ref="A27:A28"/>
    <mergeCell ref="B27:B28"/>
    <mergeCell ref="A13:A15"/>
    <mergeCell ref="A16:A17"/>
    <mergeCell ref="B16:B17"/>
    <mergeCell ref="A18:A19"/>
    <mergeCell ref="B18:B19"/>
    <mergeCell ref="A21:A22"/>
    <mergeCell ref="B21:B22"/>
    <mergeCell ref="A36:A38"/>
    <mergeCell ref="B36:B38"/>
    <mergeCell ref="A39:A40"/>
    <mergeCell ref="B39:B40"/>
    <mergeCell ref="A41:A42"/>
    <mergeCell ref="B41:B42"/>
    <mergeCell ref="A29:A30"/>
    <mergeCell ref="B29:B30"/>
    <mergeCell ref="A32:A33"/>
    <mergeCell ref="B32:B33"/>
    <mergeCell ref="A34:A35"/>
    <mergeCell ref="B34:B35"/>
    <mergeCell ref="A49:A50"/>
    <mergeCell ref="B49:B50"/>
    <mergeCell ref="A51:A52"/>
    <mergeCell ref="B51:B52"/>
    <mergeCell ref="A53:A54"/>
    <mergeCell ref="B53:B54"/>
    <mergeCell ref="A43:A44"/>
    <mergeCell ref="B43:B44"/>
    <mergeCell ref="A45:A46"/>
    <mergeCell ref="B45:B46"/>
    <mergeCell ref="A47:A48"/>
    <mergeCell ref="B47:B48"/>
    <mergeCell ref="A61:A62"/>
    <mergeCell ref="B61:B62"/>
    <mergeCell ref="A63:A64"/>
    <mergeCell ref="B63:B64"/>
    <mergeCell ref="A65:A66"/>
    <mergeCell ref="B65:B66"/>
    <mergeCell ref="A55:A56"/>
    <mergeCell ref="B55:B56"/>
    <mergeCell ref="A57:A58"/>
    <mergeCell ref="B57:B58"/>
    <mergeCell ref="A59:A60"/>
    <mergeCell ref="B59:B60"/>
    <mergeCell ref="A74:A75"/>
    <mergeCell ref="B74:B75"/>
    <mergeCell ref="A76:A77"/>
    <mergeCell ref="B76:B77"/>
    <mergeCell ref="A78:A79"/>
    <mergeCell ref="B78:B79"/>
    <mergeCell ref="A67:A68"/>
    <mergeCell ref="B67:B68"/>
    <mergeCell ref="A69:A70"/>
    <mergeCell ref="B69:B70"/>
    <mergeCell ref="A72:A73"/>
    <mergeCell ref="B72:B73"/>
    <mergeCell ref="A87:A88"/>
    <mergeCell ref="B87:B88"/>
    <mergeCell ref="A89:A90"/>
    <mergeCell ref="B89:B90"/>
    <mergeCell ref="A91:A92"/>
    <mergeCell ref="B91:B92"/>
    <mergeCell ref="A80:A81"/>
    <mergeCell ref="B80:B81"/>
    <mergeCell ref="A82:A83"/>
    <mergeCell ref="B82:B83"/>
    <mergeCell ref="A84:A85"/>
    <mergeCell ref="B84:B85"/>
    <mergeCell ref="A105:A106"/>
    <mergeCell ref="B105:B106"/>
    <mergeCell ref="A107:A108"/>
    <mergeCell ref="B107:B108"/>
    <mergeCell ref="A109:A110"/>
    <mergeCell ref="B109:B110"/>
    <mergeCell ref="A98:P98"/>
    <mergeCell ref="A99:A100"/>
    <mergeCell ref="B99:B100"/>
    <mergeCell ref="A101:A102"/>
    <mergeCell ref="B101:B102"/>
    <mergeCell ref="A103:A104"/>
    <mergeCell ref="B103:B104"/>
    <mergeCell ref="A126:A127"/>
    <mergeCell ref="B126:B127"/>
    <mergeCell ref="A128:A129"/>
    <mergeCell ref="B128:B129"/>
    <mergeCell ref="A130:A131"/>
    <mergeCell ref="B130:B131"/>
    <mergeCell ref="A111:A112"/>
    <mergeCell ref="B111:B112"/>
    <mergeCell ref="A113:A114"/>
    <mergeCell ref="B113:B114"/>
    <mergeCell ref="A115:A116"/>
    <mergeCell ref="B115:B116"/>
    <mergeCell ref="A142:A143"/>
    <mergeCell ref="B142:B143"/>
    <mergeCell ref="A144:A145"/>
    <mergeCell ref="B144:B145"/>
    <mergeCell ref="A146:A147"/>
    <mergeCell ref="B146:B147"/>
    <mergeCell ref="A132:A133"/>
    <mergeCell ref="B132:B133"/>
    <mergeCell ref="A138:A139"/>
    <mergeCell ref="B138:B139"/>
    <mergeCell ref="A140:A141"/>
    <mergeCell ref="B140:B141"/>
    <mergeCell ref="B156:C156"/>
    <mergeCell ref="B158:C158"/>
    <mergeCell ref="B160:C160"/>
    <mergeCell ref="A148:A149"/>
    <mergeCell ref="B148:B149"/>
    <mergeCell ref="A150:A151"/>
    <mergeCell ref="B150:B151"/>
    <mergeCell ref="A152:A153"/>
    <mergeCell ref="B152:B153"/>
  </mergeCells>
  <printOptions/>
  <pageMargins left="0.2362204724409449" right="0.2362204724409449" top="0.2362204724409449" bottom="0.2362204724409449" header="0.31496062992125984" footer="0"/>
  <pageSetup fitToHeight="0" fitToWidth="1"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7"/>
  <sheetViews>
    <sheetView zoomScale="110" zoomScaleNormal="110" workbookViewId="0" topLeftCell="A32">
      <selection activeCell="D56" sqref="D56"/>
    </sheetView>
  </sheetViews>
  <sheetFormatPr defaultColWidth="9.00390625" defaultRowHeight="12.75"/>
  <cols>
    <col min="2" max="2" width="5.25390625" style="0" customWidth="1"/>
    <col min="3" max="3" width="25.625" style="0" customWidth="1"/>
    <col min="4" max="5" width="11.875" style="0" customWidth="1"/>
    <col min="6" max="6" width="15.125" style="0" customWidth="1"/>
    <col min="7" max="7" width="18.00390625" style="0" customWidth="1"/>
  </cols>
  <sheetData>
    <row r="1" spans="2:7" ht="15.75" customHeight="1">
      <c r="B1" s="235"/>
      <c r="C1" s="29"/>
      <c r="D1" s="2014" t="s">
        <v>144</v>
      </c>
      <c r="E1" s="2014"/>
      <c r="F1" s="2014"/>
      <c r="G1" s="178"/>
    </row>
    <row r="2" spans="2:7" ht="15.75">
      <c r="B2" s="29"/>
      <c r="C2" s="29"/>
      <c r="D2" s="2014"/>
      <c r="E2" s="2014"/>
      <c r="F2" s="2014"/>
      <c r="G2" s="178"/>
    </row>
    <row r="3" spans="2:7" ht="15.75">
      <c r="B3" s="29"/>
      <c r="C3" s="29"/>
      <c r="D3" s="2014"/>
      <c r="E3" s="2014"/>
      <c r="F3" s="2014"/>
      <c r="G3" s="178"/>
    </row>
    <row r="4" spans="2:7" ht="15.75">
      <c r="B4" s="29"/>
      <c r="C4" s="29"/>
      <c r="D4" s="2014"/>
      <c r="E4" s="2014"/>
      <c r="F4" s="2014"/>
      <c r="G4" s="178"/>
    </row>
    <row r="5" spans="2:7" ht="15.75">
      <c r="B5" s="29"/>
      <c r="C5" s="29"/>
      <c r="D5" s="2014"/>
      <c r="E5" s="2014"/>
      <c r="F5" s="2014"/>
      <c r="G5" s="236"/>
    </row>
    <row r="6" spans="2:7" ht="15.75">
      <c r="B6" s="29"/>
      <c r="C6" s="29"/>
      <c r="D6" s="236"/>
      <c r="E6" s="236"/>
      <c r="F6" s="338"/>
      <c r="G6" s="236"/>
    </row>
    <row r="7" spans="2:7" ht="15.75">
      <c r="B7" s="29"/>
      <c r="C7" s="29"/>
      <c r="D7" s="29"/>
      <c r="E7" s="29"/>
      <c r="F7" s="235"/>
      <c r="G7" s="29"/>
    </row>
    <row r="8" spans="2:7" ht="15.75">
      <c r="B8" s="1903" t="s">
        <v>296</v>
      </c>
      <c r="C8" s="1903"/>
      <c r="D8" s="1903"/>
      <c r="E8" s="1903"/>
      <c r="F8" s="1903"/>
      <c r="G8" s="179"/>
    </row>
    <row r="9" spans="2:7" ht="15.75">
      <c r="B9" s="2017" t="s">
        <v>2</v>
      </c>
      <c r="C9" s="2017"/>
      <c r="D9" s="2017"/>
      <c r="E9" s="2017"/>
      <c r="F9" s="2017"/>
      <c r="G9" s="179"/>
    </row>
    <row r="10" spans="2:7" ht="16.5" thickBot="1">
      <c r="B10" s="2018"/>
      <c r="C10" s="2019"/>
      <c r="D10" s="2019"/>
      <c r="E10" s="2019"/>
      <c r="F10" s="2019"/>
      <c r="G10" s="339"/>
    </row>
    <row r="11" spans="2:7" ht="13.5" thickBot="1">
      <c r="B11" s="905" t="s">
        <v>128</v>
      </c>
      <c r="C11" s="2020" t="s">
        <v>6</v>
      </c>
      <c r="D11" s="2022" t="s">
        <v>8</v>
      </c>
      <c r="E11" s="2023"/>
      <c r="F11" s="2015" t="s">
        <v>184</v>
      </c>
      <c r="G11" s="2015" t="s">
        <v>132</v>
      </c>
    </row>
    <row r="12" spans="2:7" ht="13.5" thickBot="1">
      <c r="B12" s="909" t="s">
        <v>135</v>
      </c>
      <c r="C12" s="2021"/>
      <c r="D12" s="340" t="s">
        <v>226</v>
      </c>
      <c r="E12" s="340" t="s">
        <v>155</v>
      </c>
      <c r="F12" s="2016"/>
      <c r="G12" s="2016"/>
    </row>
    <row r="13" spans="2:7" ht="12.75">
      <c r="B13" s="907">
        <v>1</v>
      </c>
      <c r="C13" s="903" t="s">
        <v>307</v>
      </c>
      <c r="D13" s="625">
        <v>2.8</v>
      </c>
      <c r="E13" s="671">
        <f aca="true" t="shared" si="0" ref="E13:E42">D13/1000</f>
        <v>0.0028</v>
      </c>
      <c r="F13" s="669">
        <f aca="true" t="shared" si="1" ref="F13:F42">E13*2699.78</f>
        <v>7.5593840000000005</v>
      </c>
      <c r="G13" s="341" t="s">
        <v>649</v>
      </c>
    </row>
    <row r="14" spans="2:7" ht="12.75">
      <c r="B14" s="906">
        <f>B13+1</f>
        <v>2</v>
      </c>
      <c r="C14" s="903" t="s">
        <v>72</v>
      </c>
      <c r="D14" s="625">
        <v>3</v>
      </c>
      <c r="E14" s="671">
        <f t="shared" si="0"/>
        <v>0.003</v>
      </c>
      <c r="F14" s="669">
        <f t="shared" si="1"/>
        <v>8.099340000000002</v>
      </c>
      <c r="G14" s="341" t="s">
        <v>649</v>
      </c>
    </row>
    <row r="15" spans="2:7" ht="12.75">
      <c r="B15" s="906">
        <f aca="true" t="shared" si="2" ref="B15:B42">B14+1</f>
        <v>3</v>
      </c>
      <c r="C15" s="903" t="s">
        <v>313</v>
      </c>
      <c r="D15" s="625">
        <v>2.5</v>
      </c>
      <c r="E15" s="671">
        <f t="shared" si="0"/>
        <v>0.0025</v>
      </c>
      <c r="F15" s="669">
        <f t="shared" si="1"/>
        <v>6.74945</v>
      </c>
      <c r="G15" s="341" t="s">
        <v>649</v>
      </c>
    </row>
    <row r="16" spans="2:7" ht="12.75">
      <c r="B16" s="906">
        <f t="shared" si="2"/>
        <v>4</v>
      </c>
      <c r="C16" s="903" t="s">
        <v>613</v>
      </c>
      <c r="D16" s="625">
        <v>2.8</v>
      </c>
      <c r="E16" s="671">
        <f t="shared" si="0"/>
        <v>0.0028</v>
      </c>
      <c r="F16" s="669">
        <f t="shared" si="1"/>
        <v>7.5593840000000005</v>
      </c>
      <c r="G16" s="341" t="s">
        <v>649</v>
      </c>
    </row>
    <row r="17" spans="2:7" ht="12.75">
      <c r="B17" s="906">
        <f t="shared" si="2"/>
        <v>5</v>
      </c>
      <c r="C17" s="903" t="s">
        <v>77</v>
      </c>
      <c r="D17" s="625">
        <v>3</v>
      </c>
      <c r="E17" s="671">
        <f t="shared" si="0"/>
        <v>0.003</v>
      </c>
      <c r="F17" s="669">
        <f t="shared" si="1"/>
        <v>8.099340000000002</v>
      </c>
      <c r="G17" s="342" t="s">
        <v>649</v>
      </c>
    </row>
    <row r="18" spans="2:7" ht="12.75">
      <c r="B18" s="906">
        <f t="shared" si="2"/>
        <v>6</v>
      </c>
      <c r="C18" s="903" t="s">
        <v>315</v>
      </c>
      <c r="D18" s="625">
        <v>2</v>
      </c>
      <c r="E18" s="671">
        <f t="shared" si="0"/>
        <v>0.002</v>
      </c>
      <c r="F18" s="669">
        <f t="shared" si="1"/>
        <v>5.39956</v>
      </c>
      <c r="G18" s="341" t="s">
        <v>649</v>
      </c>
    </row>
    <row r="19" spans="2:7" ht="12.75">
      <c r="B19" s="906">
        <f t="shared" si="2"/>
        <v>7</v>
      </c>
      <c r="C19" s="903" t="s">
        <v>314</v>
      </c>
      <c r="D19" s="625">
        <v>1.5</v>
      </c>
      <c r="E19" s="671">
        <f t="shared" si="0"/>
        <v>0.0015</v>
      </c>
      <c r="F19" s="669">
        <f t="shared" si="1"/>
        <v>4.049670000000001</v>
      </c>
      <c r="G19" s="341" t="s">
        <v>649</v>
      </c>
    </row>
    <row r="20" spans="2:7" ht="12.75">
      <c r="B20" s="906">
        <f t="shared" si="2"/>
        <v>8</v>
      </c>
      <c r="C20" s="903" t="s">
        <v>316</v>
      </c>
      <c r="D20" s="625">
        <v>2.1</v>
      </c>
      <c r="E20" s="671">
        <f t="shared" si="0"/>
        <v>0.0021000000000000003</v>
      </c>
      <c r="F20" s="669">
        <f t="shared" si="1"/>
        <v>5.669538000000001</v>
      </c>
      <c r="G20" s="341" t="s">
        <v>649</v>
      </c>
    </row>
    <row r="21" spans="2:7" ht="12.75">
      <c r="B21" s="906">
        <f t="shared" si="2"/>
        <v>9</v>
      </c>
      <c r="C21" s="903" t="s">
        <v>317</v>
      </c>
      <c r="D21" s="625">
        <v>3.5</v>
      </c>
      <c r="E21" s="671">
        <f t="shared" si="0"/>
        <v>0.0035</v>
      </c>
      <c r="F21" s="669">
        <f t="shared" si="1"/>
        <v>9.44923</v>
      </c>
      <c r="G21" s="341" t="s">
        <v>649</v>
      </c>
    </row>
    <row r="22" spans="2:7" ht="12.75">
      <c r="B22" s="906">
        <f t="shared" si="2"/>
        <v>10</v>
      </c>
      <c r="C22" s="903" t="s">
        <v>507</v>
      </c>
      <c r="D22" s="625">
        <v>1</v>
      </c>
      <c r="E22" s="671">
        <f t="shared" si="0"/>
        <v>0.001</v>
      </c>
      <c r="F22" s="669">
        <f t="shared" si="1"/>
        <v>2.69978</v>
      </c>
      <c r="G22" s="341" t="s">
        <v>459</v>
      </c>
    </row>
    <row r="23" spans="2:7" ht="12.75">
      <c r="B23" s="906">
        <f t="shared" si="2"/>
        <v>11</v>
      </c>
      <c r="C23" s="903" t="s">
        <v>83</v>
      </c>
      <c r="D23" s="625">
        <v>10</v>
      </c>
      <c r="E23" s="671">
        <f t="shared" si="0"/>
        <v>0.01</v>
      </c>
      <c r="F23" s="669">
        <f t="shared" si="1"/>
        <v>26.9978</v>
      </c>
      <c r="G23" s="341" t="s">
        <v>582</v>
      </c>
    </row>
    <row r="24" spans="2:7" ht="12.75">
      <c r="B24" s="906">
        <f t="shared" si="2"/>
        <v>12</v>
      </c>
      <c r="C24" s="903" t="s">
        <v>322</v>
      </c>
      <c r="D24" s="625">
        <v>1.2</v>
      </c>
      <c r="E24" s="671">
        <f t="shared" si="0"/>
        <v>0.0012</v>
      </c>
      <c r="F24" s="669">
        <f t="shared" si="1"/>
        <v>3.239736</v>
      </c>
      <c r="G24" s="341" t="s">
        <v>649</v>
      </c>
    </row>
    <row r="25" spans="2:7" ht="12.75">
      <c r="B25" s="906">
        <f t="shared" si="2"/>
        <v>13</v>
      </c>
      <c r="C25" s="903" t="s">
        <v>323</v>
      </c>
      <c r="D25" s="625">
        <v>3.5</v>
      </c>
      <c r="E25" s="671">
        <f t="shared" si="0"/>
        <v>0.0035</v>
      </c>
      <c r="F25" s="669">
        <f t="shared" si="1"/>
        <v>9.44923</v>
      </c>
      <c r="G25" s="341" t="s">
        <v>649</v>
      </c>
    </row>
    <row r="26" spans="2:7" ht="12.75">
      <c r="B26" s="906">
        <f t="shared" si="2"/>
        <v>14</v>
      </c>
      <c r="C26" s="903" t="s">
        <v>324</v>
      </c>
      <c r="D26" s="625">
        <v>2.5</v>
      </c>
      <c r="E26" s="671">
        <f t="shared" si="0"/>
        <v>0.0025</v>
      </c>
      <c r="F26" s="669">
        <f t="shared" si="1"/>
        <v>6.74945</v>
      </c>
      <c r="G26" s="341" t="s">
        <v>649</v>
      </c>
    </row>
    <row r="27" spans="2:7" ht="12.75">
      <c r="B27" s="906">
        <f t="shared" si="2"/>
        <v>15</v>
      </c>
      <c r="C27" s="903" t="s">
        <v>539</v>
      </c>
      <c r="D27" s="625">
        <v>5</v>
      </c>
      <c r="E27" s="671">
        <f t="shared" si="0"/>
        <v>0.005</v>
      </c>
      <c r="F27" s="669">
        <f t="shared" si="1"/>
        <v>13.4989</v>
      </c>
      <c r="G27" s="341" t="s">
        <v>541</v>
      </c>
    </row>
    <row r="28" spans="2:7" ht="12.75">
      <c r="B28" s="906">
        <f t="shared" si="2"/>
        <v>16</v>
      </c>
      <c r="C28" s="903" t="s">
        <v>31</v>
      </c>
      <c r="D28" s="625">
        <v>3</v>
      </c>
      <c r="E28" s="671">
        <f t="shared" si="0"/>
        <v>0.003</v>
      </c>
      <c r="F28" s="669">
        <f t="shared" si="1"/>
        <v>8.099340000000002</v>
      </c>
      <c r="G28" s="341" t="s">
        <v>582</v>
      </c>
    </row>
    <row r="29" spans="2:7" ht="12.75">
      <c r="B29" s="906">
        <f t="shared" si="2"/>
        <v>17</v>
      </c>
      <c r="C29" s="903" t="s">
        <v>267</v>
      </c>
      <c r="D29" s="625">
        <v>2</v>
      </c>
      <c r="E29" s="671">
        <f t="shared" si="0"/>
        <v>0.002</v>
      </c>
      <c r="F29" s="669">
        <f t="shared" si="1"/>
        <v>5.39956</v>
      </c>
      <c r="G29" s="341" t="s">
        <v>649</v>
      </c>
    </row>
    <row r="30" spans="2:7" ht="12.75">
      <c r="B30" s="906">
        <f t="shared" si="2"/>
        <v>18</v>
      </c>
      <c r="C30" s="903" t="s">
        <v>246</v>
      </c>
      <c r="D30" s="625">
        <v>1.5</v>
      </c>
      <c r="E30" s="671">
        <f t="shared" si="0"/>
        <v>0.0015</v>
      </c>
      <c r="F30" s="669">
        <f t="shared" si="1"/>
        <v>4.049670000000001</v>
      </c>
      <c r="G30" s="341" t="s">
        <v>649</v>
      </c>
    </row>
    <row r="31" spans="2:7" ht="12.75">
      <c r="B31" s="906">
        <f t="shared" si="2"/>
        <v>19</v>
      </c>
      <c r="C31" s="903" t="s">
        <v>268</v>
      </c>
      <c r="D31" s="625">
        <v>6.5</v>
      </c>
      <c r="E31" s="671">
        <f t="shared" si="0"/>
        <v>0.0065</v>
      </c>
      <c r="F31" s="669">
        <f t="shared" si="1"/>
        <v>17.54857</v>
      </c>
      <c r="G31" s="341" t="s">
        <v>649</v>
      </c>
    </row>
    <row r="32" spans="2:7" ht="12.75">
      <c r="B32" s="906">
        <f t="shared" si="2"/>
        <v>20</v>
      </c>
      <c r="C32" s="903" t="s">
        <v>326</v>
      </c>
      <c r="D32" s="625">
        <v>2</v>
      </c>
      <c r="E32" s="671">
        <f t="shared" si="0"/>
        <v>0.002</v>
      </c>
      <c r="F32" s="669">
        <f t="shared" si="1"/>
        <v>5.39956</v>
      </c>
      <c r="G32" s="341" t="s">
        <v>649</v>
      </c>
    </row>
    <row r="33" spans="2:7" ht="12.75">
      <c r="B33" s="906">
        <f t="shared" si="2"/>
        <v>21</v>
      </c>
      <c r="C33" s="903" t="s">
        <v>140</v>
      </c>
      <c r="D33" s="625">
        <v>2</v>
      </c>
      <c r="E33" s="671">
        <f t="shared" si="0"/>
        <v>0.002</v>
      </c>
      <c r="F33" s="669">
        <f t="shared" si="1"/>
        <v>5.39956</v>
      </c>
      <c r="G33" s="341" t="s">
        <v>649</v>
      </c>
    </row>
    <row r="34" spans="2:7" ht="12.75">
      <c r="B34" s="906">
        <f t="shared" si="2"/>
        <v>22</v>
      </c>
      <c r="C34" s="903" t="s">
        <v>328</v>
      </c>
      <c r="D34" s="625">
        <v>1.5</v>
      </c>
      <c r="E34" s="671">
        <f t="shared" si="0"/>
        <v>0.0015</v>
      </c>
      <c r="F34" s="669">
        <f t="shared" si="1"/>
        <v>4.049670000000001</v>
      </c>
      <c r="G34" s="341" t="s">
        <v>308</v>
      </c>
    </row>
    <row r="35" spans="2:7" ht="12.75">
      <c r="B35" s="906">
        <f t="shared" si="2"/>
        <v>23</v>
      </c>
      <c r="C35" s="903" t="s">
        <v>328</v>
      </c>
      <c r="D35" s="625">
        <v>2</v>
      </c>
      <c r="E35" s="671">
        <f t="shared" si="0"/>
        <v>0.002</v>
      </c>
      <c r="F35" s="669">
        <f t="shared" si="1"/>
        <v>5.39956</v>
      </c>
      <c r="G35" s="341" t="s">
        <v>649</v>
      </c>
    </row>
    <row r="36" spans="2:7" ht="12.75">
      <c r="B36" s="906">
        <f t="shared" si="2"/>
        <v>24</v>
      </c>
      <c r="C36" s="903" t="s">
        <v>91</v>
      </c>
      <c r="D36" s="625">
        <v>5</v>
      </c>
      <c r="E36" s="671">
        <f t="shared" si="0"/>
        <v>0.005</v>
      </c>
      <c r="F36" s="669">
        <f t="shared" si="1"/>
        <v>13.4989</v>
      </c>
      <c r="G36" s="341" t="s">
        <v>649</v>
      </c>
    </row>
    <row r="37" spans="2:7" ht="12.75">
      <c r="B37" s="906">
        <f t="shared" si="2"/>
        <v>25</v>
      </c>
      <c r="C37" s="903" t="s">
        <v>270</v>
      </c>
      <c r="D37" s="625">
        <v>7</v>
      </c>
      <c r="E37" s="671">
        <f t="shared" si="0"/>
        <v>0.007</v>
      </c>
      <c r="F37" s="669">
        <f t="shared" si="1"/>
        <v>18.89846</v>
      </c>
      <c r="G37" s="341" t="s">
        <v>649</v>
      </c>
    </row>
    <row r="38" spans="2:7" ht="12.75">
      <c r="B38" s="906">
        <f t="shared" si="2"/>
        <v>26</v>
      </c>
      <c r="C38" s="903" t="s">
        <v>310</v>
      </c>
      <c r="D38" s="625">
        <v>4</v>
      </c>
      <c r="E38" s="671">
        <f t="shared" si="0"/>
        <v>0.004</v>
      </c>
      <c r="F38" s="669">
        <f t="shared" si="1"/>
        <v>10.79912</v>
      </c>
      <c r="G38" s="341" t="s">
        <v>649</v>
      </c>
    </row>
    <row r="39" spans="2:7" ht="12.75">
      <c r="B39" s="906">
        <f t="shared" si="2"/>
        <v>27</v>
      </c>
      <c r="C39" s="903" t="s">
        <v>174</v>
      </c>
      <c r="D39" s="625">
        <v>2</v>
      </c>
      <c r="E39" s="671">
        <f t="shared" si="0"/>
        <v>0.002</v>
      </c>
      <c r="F39" s="669">
        <f t="shared" si="1"/>
        <v>5.39956</v>
      </c>
      <c r="G39" s="341" t="s">
        <v>459</v>
      </c>
    </row>
    <row r="40" spans="2:7" ht="12.75">
      <c r="B40" s="906">
        <f t="shared" si="2"/>
        <v>28</v>
      </c>
      <c r="C40" s="903" t="s">
        <v>668</v>
      </c>
      <c r="D40" s="625">
        <v>4</v>
      </c>
      <c r="E40" s="671">
        <f t="shared" si="0"/>
        <v>0.004</v>
      </c>
      <c r="F40" s="669">
        <f t="shared" si="1"/>
        <v>10.79912</v>
      </c>
      <c r="G40" s="341" t="s">
        <v>649</v>
      </c>
    </row>
    <row r="41" spans="2:7" ht="12.75">
      <c r="B41" s="906">
        <f t="shared" si="2"/>
        <v>29</v>
      </c>
      <c r="C41" s="903" t="s">
        <v>329</v>
      </c>
      <c r="D41" s="625">
        <v>2.5</v>
      </c>
      <c r="E41" s="671">
        <f t="shared" si="0"/>
        <v>0.0025</v>
      </c>
      <c r="F41" s="669">
        <f t="shared" si="1"/>
        <v>6.74945</v>
      </c>
      <c r="G41" s="341" t="s">
        <v>649</v>
      </c>
    </row>
    <row r="42" spans="2:7" ht="13.5" thickBot="1">
      <c r="B42" s="906">
        <f t="shared" si="2"/>
        <v>30</v>
      </c>
      <c r="C42" s="903" t="s">
        <v>175</v>
      </c>
      <c r="D42" s="625">
        <v>3.5</v>
      </c>
      <c r="E42" s="671">
        <f t="shared" si="0"/>
        <v>0.0035</v>
      </c>
      <c r="F42" s="669">
        <f t="shared" si="1"/>
        <v>9.44923</v>
      </c>
      <c r="G42" s="341" t="s">
        <v>649</v>
      </c>
    </row>
    <row r="43" spans="2:7" ht="13.5" thickBot="1">
      <c r="B43" s="908"/>
      <c r="C43" s="904" t="s">
        <v>176</v>
      </c>
      <c r="D43" s="626">
        <f>SUM(D13:D42)</f>
        <v>94.9</v>
      </c>
      <c r="E43" s="672">
        <f>SUM(E13:E42)</f>
        <v>0.09490000000000004</v>
      </c>
      <c r="F43" s="670">
        <f>SUM(F13:F42)</f>
        <v>256.209122</v>
      </c>
      <c r="G43" s="343"/>
    </row>
    <row r="44" spans="2:7" ht="12.75">
      <c r="B44" s="344"/>
      <c r="C44" s="345" t="s">
        <v>204</v>
      </c>
      <c r="D44" s="345"/>
      <c r="E44" s="345"/>
      <c r="F44" s="346"/>
      <c r="G44" s="345"/>
    </row>
    <row r="45" spans="2:7" ht="12.75">
      <c r="B45" s="344"/>
      <c r="C45" s="344"/>
      <c r="D45" s="344"/>
      <c r="E45" s="344"/>
      <c r="F45" s="347"/>
      <c r="G45" s="344"/>
    </row>
    <row r="46" spans="2:7" ht="12.75">
      <c r="B46" s="22"/>
      <c r="C46" s="22"/>
      <c r="D46" s="22"/>
      <c r="E46" s="22"/>
      <c r="F46" s="125"/>
      <c r="G46" s="22"/>
    </row>
    <row r="47" spans="2:7" ht="15.75">
      <c r="B47" s="22"/>
      <c r="C47" s="333" t="s">
        <v>95</v>
      </c>
      <c r="D47" s="241"/>
      <c r="E47" s="241"/>
      <c r="F47" s="241" t="s">
        <v>38</v>
      </c>
      <c r="G47" s="22"/>
    </row>
  </sheetData>
  <mergeCells count="7">
    <mergeCell ref="D1:F5"/>
    <mergeCell ref="G11:G12"/>
    <mergeCell ref="B8:F8"/>
    <mergeCell ref="B9:F10"/>
    <mergeCell ref="C11:C12"/>
    <mergeCell ref="D11:E11"/>
    <mergeCell ref="F11:F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00102615356"/>
  </sheetPr>
  <dimension ref="B1:K62"/>
  <sheetViews>
    <sheetView workbookViewId="0" topLeftCell="A1">
      <pane xSplit="3" ySplit="6" topLeftCell="D70" activePane="bottomRight" state="frozen"/>
      <selection pane="topRight" activeCell="C1" sqref="C1"/>
      <selection pane="bottomLeft" activeCell="A7" sqref="A7"/>
      <selection pane="bottomRight" activeCell="K81" sqref="K81"/>
    </sheetView>
  </sheetViews>
  <sheetFormatPr defaultColWidth="9.00390625" defaultRowHeight="12.75"/>
  <cols>
    <col min="1" max="1" width="5.75390625" style="0" customWidth="1"/>
    <col min="2" max="2" width="5.125" style="107" customWidth="1"/>
    <col min="3" max="3" width="22.25390625" style="0" customWidth="1"/>
    <col min="4" max="4" width="11.875" style="0" customWidth="1"/>
    <col min="5" max="5" width="11.125" style="107" customWidth="1"/>
    <col min="6" max="6" width="10.125" style="0" customWidth="1"/>
    <col min="7" max="7" width="11.125" style="107" customWidth="1"/>
    <col min="8" max="8" width="10.875" style="107" customWidth="1"/>
    <col min="9" max="9" width="15.375" style="107" customWidth="1"/>
    <col min="10" max="10" width="14.875" style="0" customWidth="1"/>
    <col min="11" max="11" width="18.75390625" style="0" customWidth="1"/>
  </cols>
  <sheetData>
    <row r="1" spans="2:10" ht="76.5" customHeight="1">
      <c r="B1" s="116"/>
      <c r="C1" s="29"/>
      <c r="D1" s="29"/>
      <c r="E1" s="108"/>
      <c r="F1" s="2028" t="s">
        <v>111</v>
      </c>
      <c r="G1" s="2028"/>
      <c r="H1" s="2028"/>
      <c r="I1" s="2028"/>
      <c r="J1" s="108"/>
    </row>
    <row r="2" spans="2:10" ht="15.75">
      <c r="B2" s="116"/>
      <c r="C2" s="29"/>
      <c r="D2" s="29"/>
      <c r="E2" s="109"/>
      <c r="F2" s="29"/>
      <c r="G2" s="109"/>
      <c r="H2" s="109"/>
      <c r="I2" s="109"/>
      <c r="J2" s="57"/>
    </row>
    <row r="3" spans="2:10" ht="22.5" customHeight="1">
      <c r="B3" s="117"/>
      <c r="C3" s="2029" t="s">
        <v>706</v>
      </c>
      <c r="D3" s="2029"/>
      <c r="E3" s="2029"/>
      <c r="F3" s="2029"/>
      <c r="G3" s="2029"/>
      <c r="H3" s="2029"/>
      <c r="I3" s="2029"/>
      <c r="J3" s="57"/>
    </row>
    <row r="4" spans="2:10" ht="22.5" customHeight="1" thickBot="1">
      <c r="B4" s="117"/>
      <c r="C4" s="1958"/>
      <c r="D4" s="1958"/>
      <c r="E4" s="1958"/>
      <c r="F4" s="1958"/>
      <c r="G4" s="1958"/>
      <c r="H4" s="1958"/>
      <c r="I4" s="1958"/>
      <c r="J4" s="57"/>
    </row>
    <row r="5" spans="2:10" ht="22.5" customHeight="1">
      <c r="B5" s="2030" t="s">
        <v>44</v>
      </c>
      <c r="C5" s="2032" t="s">
        <v>6</v>
      </c>
      <c r="D5" s="2034" t="s">
        <v>112</v>
      </c>
      <c r="E5" s="2036" t="s">
        <v>113</v>
      </c>
      <c r="F5" s="2038" t="s">
        <v>114</v>
      </c>
      <c r="G5" s="2040" t="s">
        <v>115</v>
      </c>
      <c r="H5" s="2026" t="s">
        <v>297</v>
      </c>
      <c r="I5" s="1947" t="s">
        <v>116</v>
      </c>
      <c r="J5" s="2024" t="s">
        <v>117</v>
      </c>
    </row>
    <row r="6" spans="2:10" ht="27" customHeight="1" thickBot="1">
      <c r="B6" s="2031"/>
      <c r="C6" s="2033"/>
      <c r="D6" s="2035"/>
      <c r="E6" s="2037"/>
      <c r="F6" s="2039"/>
      <c r="G6" s="2041"/>
      <c r="H6" s="2027"/>
      <c r="I6" s="2042"/>
      <c r="J6" s="2025"/>
    </row>
    <row r="7" spans="2:11" ht="15.95" customHeight="1">
      <c r="B7" s="110">
        <v>1</v>
      </c>
      <c r="C7" s="554" t="s">
        <v>304</v>
      </c>
      <c r="D7" s="555"/>
      <c r="E7" s="556">
        <v>2</v>
      </c>
      <c r="F7" s="556"/>
      <c r="G7" s="620"/>
      <c r="H7" s="621">
        <f>D7+E7+F7+G7</f>
        <v>2</v>
      </c>
      <c r="I7" s="622">
        <f>H7*1.05261</f>
        <v>2.10522</v>
      </c>
      <c r="J7" s="657"/>
      <c r="K7" s="453"/>
    </row>
    <row r="8" spans="2:11" ht="15.95" customHeight="1">
      <c r="B8" s="111">
        <v>2</v>
      </c>
      <c r="C8" s="557" t="s">
        <v>703</v>
      </c>
      <c r="D8" s="558"/>
      <c r="E8" s="559">
        <v>6</v>
      </c>
      <c r="F8" s="559"/>
      <c r="G8" s="623">
        <v>4</v>
      </c>
      <c r="H8" s="621">
        <f aca="true" t="shared" si="0" ref="H8:H57">D8+E8+F8+G8</f>
        <v>10</v>
      </c>
      <c r="I8" s="622">
        <f aca="true" t="shared" si="1" ref="I8:I56">H8*1.05261</f>
        <v>10.5261</v>
      </c>
      <c r="J8" s="657"/>
      <c r="K8" s="453"/>
    </row>
    <row r="9" spans="2:11" ht="15.95" customHeight="1">
      <c r="B9" s="111">
        <v>3</v>
      </c>
      <c r="C9" s="557" t="s">
        <v>704</v>
      </c>
      <c r="D9" s="558"/>
      <c r="E9" s="559">
        <v>6</v>
      </c>
      <c r="F9" s="559"/>
      <c r="G9" s="623">
        <v>4</v>
      </c>
      <c r="H9" s="621">
        <f t="shared" si="0"/>
        <v>10</v>
      </c>
      <c r="I9" s="622">
        <f t="shared" si="1"/>
        <v>10.5261</v>
      </c>
      <c r="J9" s="657"/>
      <c r="K9" s="112"/>
    </row>
    <row r="10" spans="2:11" ht="15.95" customHeight="1">
      <c r="B10" s="111">
        <v>2</v>
      </c>
      <c r="C10" s="557" t="s">
        <v>312</v>
      </c>
      <c r="D10" s="558"/>
      <c r="E10" s="559">
        <v>4</v>
      </c>
      <c r="F10" s="559"/>
      <c r="G10" s="623"/>
      <c r="H10" s="621">
        <f t="shared" si="0"/>
        <v>4</v>
      </c>
      <c r="I10" s="622">
        <f t="shared" si="1"/>
        <v>4.21044</v>
      </c>
      <c r="J10" s="657"/>
      <c r="K10" s="453"/>
    </row>
    <row r="11" spans="2:11" ht="15.95" customHeight="1">
      <c r="B11" s="111">
        <v>3</v>
      </c>
      <c r="C11" s="557" t="s">
        <v>332</v>
      </c>
      <c r="D11" s="558"/>
      <c r="E11" s="559">
        <v>2</v>
      </c>
      <c r="F11" s="559"/>
      <c r="G11" s="623"/>
      <c r="H11" s="621">
        <f t="shared" si="0"/>
        <v>2</v>
      </c>
      <c r="I11" s="622">
        <f t="shared" si="1"/>
        <v>2.10522</v>
      </c>
      <c r="J11" s="657"/>
      <c r="K11" s="453"/>
    </row>
    <row r="12" spans="2:11" ht="15.95" customHeight="1">
      <c r="B12" s="111">
        <v>4</v>
      </c>
      <c r="C12" s="560" t="s">
        <v>72</v>
      </c>
      <c r="D12" s="561"/>
      <c r="E12" s="562">
        <v>2</v>
      </c>
      <c r="F12" s="562"/>
      <c r="G12" s="566"/>
      <c r="H12" s="621">
        <f t="shared" si="0"/>
        <v>2</v>
      </c>
      <c r="I12" s="622">
        <f t="shared" si="1"/>
        <v>2.10522</v>
      </c>
      <c r="J12" s="657"/>
      <c r="K12" s="453"/>
    </row>
    <row r="13" spans="2:11" ht="15.95" customHeight="1">
      <c r="B13" s="111">
        <v>5</v>
      </c>
      <c r="C13" s="560" t="s">
        <v>118</v>
      </c>
      <c r="D13" s="563"/>
      <c r="E13" s="564">
        <v>1</v>
      </c>
      <c r="F13" s="564"/>
      <c r="G13" s="565"/>
      <c r="H13" s="621">
        <f t="shared" si="0"/>
        <v>1</v>
      </c>
      <c r="I13" s="622">
        <f t="shared" si="1"/>
        <v>1.05261</v>
      </c>
      <c r="J13" s="657"/>
      <c r="K13" s="453"/>
    </row>
    <row r="14" spans="2:11" ht="15.95" customHeight="1">
      <c r="B14" s="111">
        <v>4</v>
      </c>
      <c r="C14" s="560" t="s">
        <v>55</v>
      </c>
      <c r="D14" s="563"/>
      <c r="E14" s="564">
        <v>2</v>
      </c>
      <c r="F14" s="564"/>
      <c r="G14" s="565"/>
      <c r="H14" s="621">
        <f t="shared" si="0"/>
        <v>2</v>
      </c>
      <c r="I14" s="622">
        <f t="shared" si="1"/>
        <v>2.10522</v>
      </c>
      <c r="J14" s="657"/>
      <c r="K14" s="453"/>
    </row>
    <row r="15" spans="2:11" ht="15.95" customHeight="1">
      <c r="B15" s="111">
        <v>5</v>
      </c>
      <c r="C15" s="560" t="s">
        <v>30</v>
      </c>
      <c r="D15" s="563"/>
      <c r="E15" s="564">
        <v>2</v>
      </c>
      <c r="F15" s="564"/>
      <c r="G15" s="565"/>
      <c r="H15" s="621">
        <f t="shared" si="0"/>
        <v>2</v>
      </c>
      <c r="I15" s="622">
        <f t="shared" si="1"/>
        <v>2.10522</v>
      </c>
      <c r="J15" s="657"/>
      <c r="K15" s="453"/>
    </row>
    <row r="16" spans="2:11" ht="15.95" customHeight="1">
      <c r="B16" s="111">
        <v>6</v>
      </c>
      <c r="C16" s="560" t="s">
        <v>430</v>
      </c>
      <c r="D16" s="563"/>
      <c r="E16" s="564">
        <v>2</v>
      </c>
      <c r="F16" s="564"/>
      <c r="G16" s="565"/>
      <c r="H16" s="621">
        <f t="shared" si="0"/>
        <v>2</v>
      </c>
      <c r="I16" s="622">
        <f t="shared" si="1"/>
        <v>2.10522</v>
      </c>
      <c r="J16" s="657"/>
      <c r="K16" s="453"/>
    </row>
    <row r="17" spans="2:11" ht="15.95" customHeight="1">
      <c r="B17" s="111">
        <v>7</v>
      </c>
      <c r="C17" s="560" t="s">
        <v>77</v>
      </c>
      <c r="D17" s="561"/>
      <c r="E17" s="562">
        <v>2</v>
      </c>
      <c r="F17" s="562"/>
      <c r="G17" s="566"/>
      <c r="H17" s="621">
        <f t="shared" si="0"/>
        <v>2</v>
      </c>
      <c r="I17" s="622">
        <f t="shared" si="1"/>
        <v>2.10522</v>
      </c>
      <c r="J17" s="657"/>
      <c r="K17" s="112"/>
    </row>
    <row r="18" spans="2:11" ht="15.95" customHeight="1">
      <c r="B18" s="111">
        <v>6</v>
      </c>
      <c r="C18" s="560" t="s">
        <v>119</v>
      </c>
      <c r="D18" s="561"/>
      <c r="E18" s="562">
        <v>2</v>
      </c>
      <c r="F18" s="562"/>
      <c r="G18" s="566"/>
      <c r="H18" s="621">
        <f t="shared" si="0"/>
        <v>2</v>
      </c>
      <c r="I18" s="622">
        <f t="shared" si="1"/>
        <v>2.10522</v>
      </c>
      <c r="J18" s="657"/>
      <c r="K18" s="453"/>
    </row>
    <row r="19" spans="2:11" ht="15.95" customHeight="1">
      <c r="B19" s="111">
        <v>7</v>
      </c>
      <c r="C19" s="560" t="s">
        <v>491</v>
      </c>
      <c r="D19" s="561"/>
      <c r="E19" s="562">
        <v>2</v>
      </c>
      <c r="F19" s="562"/>
      <c r="G19" s="566"/>
      <c r="H19" s="621">
        <f t="shared" si="0"/>
        <v>2</v>
      </c>
      <c r="I19" s="622">
        <f t="shared" si="1"/>
        <v>2.10522</v>
      </c>
      <c r="J19" s="657"/>
      <c r="K19" s="453"/>
    </row>
    <row r="20" spans="2:11" ht="15.95" customHeight="1">
      <c r="B20" s="111">
        <v>8</v>
      </c>
      <c r="C20" s="560" t="s">
        <v>492</v>
      </c>
      <c r="D20" s="563"/>
      <c r="E20" s="564">
        <v>2</v>
      </c>
      <c r="F20" s="564"/>
      <c r="G20" s="565"/>
      <c r="H20" s="621">
        <f t="shared" si="0"/>
        <v>2</v>
      </c>
      <c r="I20" s="622">
        <f t="shared" si="1"/>
        <v>2.10522</v>
      </c>
      <c r="J20" s="657"/>
      <c r="K20" s="453"/>
    </row>
    <row r="21" spans="2:11" ht="15.95" customHeight="1">
      <c r="B21" s="111">
        <v>9</v>
      </c>
      <c r="C21" s="560" t="s">
        <v>494</v>
      </c>
      <c r="D21" s="563"/>
      <c r="E21" s="564">
        <v>2</v>
      </c>
      <c r="F21" s="564"/>
      <c r="G21" s="565">
        <v>2</v>
      </c>
      <c r="H21" s="621">
        <f t="shared" si="0"/>
        <v>4</v>
      </c>
      <c r="I21" s="622">
        <f t="shared" si="1"/>
        <v>4.21044</v>
      </c>
      <c r="J21" s="657"/>
      <c r="K21" s="453"/>
    </row>
    <row r="22" spans="2:11" ht="15.95" customHeight="1">
      <c r="B22" s="111">
        <v>8</v>
      </c>
      <c r="C22" s="560" t="s">
        <v>495</v>
      </c>
      <c r="D22" s="563"/>
      <c r="E22" s="564">
        <v>2</v>
      </c>
      <c r="F22" s="564"/>
      <c r="G22" s="565">
        <v>2</v>
      </c>
      <c r="H22" s="621">
        <f t="shared" si="0"/>
        <v>4</v>
      </c>
      <c r="I22" s="622">
        <f t="shared" si="1"/>
        <v>4.21044</v>
      </c>
      <c r="J22" s="657"/>
      <c r="K22" s="453"/>
    </row>
    <row r="23" spans="2:11" ht="15.95" customHeight="1">
      <c r="B23" s="111">
        <v>9</v>
      </c>
      <c r="C23" s="560" t="s">
        <v>60</v>
      </c>
      <c r="D23" s="563"/>
      <c r="E23" s="564">
        <v>2</v>
      </c>
      <c r="F23" s="564"/>
      <c r="G23" s="565">
        <v>2</v>
      </c>
      <c r="H23" s="621">
        <f t="shared" si="0"/>
        <v>4</v>
      </c>
      <c r="I23" s="622">
        <f t="shared" si="1"/>
        <v>4.21044</v>
      </c>
      <c r="J23" s="657"/>
      <c r="K23" s="453"/>
    </row>
    <row r="24" spans="2:11" ht="15.95" customHeight="1">
      <c r="B24" s="111">
        <v>10</v>
      </c>
      <c r="C24" s="560" t="s">
        <v>316</v>
      </c>
      <c r="D24" s="563"/>
      <c r="E24" s="564">
        <v>4</v>
      </c>
      <c r="F24" s="564"/>
      <c r="G24" s="565">
        <v>4</v>
      </c>
      <c r="H24" s="621">
        <f t="shared" si="0"/>
        <v>8</v>
      </c>
      <c r="I24" s="622">
        <f t="shared" si="1"/>
        <v>8.42088</v>
      </c>
      <c r="J24" s="657"/>
      <c r="K24" s="453"/>
    </row>
    <row r="25" spans="2:11" ht="15.95" customHeight="1">
      <c r="B25" s="111">
        <v>11</v>
      </c>
      <c r="C25" s="560" t="s">
        <v>499</v>
      </c>
      <c r="D25" s="561"/>
      <c r="E25" s="562">
        <v>2</v>
      </c>
      <c r="F25" s="562"/>
      <c r="G25" s="566"/>
      <c r="H25" s="621">
        <f t="shared" si="0"/>
        <v>2</v>
      </c>
      <c r="I25" s="622">
        <f t="shared" si="1"/>
        <v>2.10522</v>
      </c>
      <c r="J25" s="657"/>
      <c r="K25" s="453"/>
    </row>
    <row r="26" spans="2:11" ht="15.95" customHeight="1">
      <c r="B26" s="111">
        <v>10</v>
      </c>
      <c r="C26" s="560" t="s">
        <v>317</v>
      </c>
      <c r="D26" s="561"/>
      <c r="E26" s="562">
        <v>6</v>
      </c>
      <c r="F26" s="562"/>
      <c r="G26" s="566">
        <v>4</v>
      </c>
      <c r="H26" s="621">
        <f t="shared" si="0"/>
        <v>10</v>
      </c>
      <c r="I26" s="622">
        <f t="shared" si="1"/>
        <v>10.5261</v>
      </c>
      <c r="J26" s="657"/>
      <c r="K26" s="112"/>
    </row>
    <row r="27" spans="2:11" ht="15.95" customHeight="1">
      <c r="B27" s="111">
        <v>11</v>
      </c>
      <c r="C27" s="560" t="s">
        <v>501</v>
      </c>
      <c r="D27" s="561"/>
      <c r="E27" s="562">
        <v>4</v>
      </c>
      <c r="F27" s="562"/>
      <c r="G27" s="566">
        <v>1</v>
      </c>
      <c r="H27" s="621">
        <f t="shared" si="0"/>
        <v>5</v>
      </c>
      <c r="I27" s="622">
        <f t="shared" si="1"/>
        <v>5.26305</v>
      </c>
      <c r="J27" s="657"/>
      <c r="K27" s="453"/>
    </row>
    <row r="28" spans="2:11" ht="15.95" customHeight="1">
      <c r="B28" s="111">
        <v>12</v>
      </c>
      <c r="C28" s="560" t="s">
        <v>418</v>
      </c>
      <c r="D28" s="563"/>
      <c r="E28" s="564">
        <v>4</v>
      </c>
      <c r="F28" s="564"/>
      <c r="G28" s="565"/>
      <c r="H28" s="621">
        <f t="shared" si="0"/>
        <v>4</v>
      </c>
      <c r="I28" s="622">
        <f t="shared" si="1"/>
        <v>4.21044</v>
      </c>
      <c r="J28" s="657"/>
      <c r="K28" s="453"/>
    </row>
    <row r="29" spans="2:11" ht="15.95" customHeight="1">
      <c r="B29" s="111">
        <v>13</v>
      </c>
      <c r="C29" s="560" t="s">
        <v>506</v>
      </c>
      <c r="D29" s="563"/>
      <c r="E29" s="564">
        <v>4</v>
      </c>
      <c r="F29" s="564"/>
      <c r="G29" s="565">
        <v>4</v>
      </c>
      <c r="H29" s="621">
        <f t="shared" si="0"/>
        <v>8</v>
      </c>
      <c r="I29" s="622">
        <f t="shared" si="1"/>
        <v>8.42088</v>
      </c>
      <c r="J29" s="657"/>
      <c r="K29" s="453"/>
    </row>
    <row r="30" spans="2:11" ht="15.95" customHeight="1">
      <c r="B30" s="111">
        <v>12</v>
      </c>
      <c r="C30" s="560" t="s">
        <v>507</v>
      </c>
      <c r="D30" s="561"/>
      <c r="E30" s="562">
        <v>2</v>
      </c>
      <c r="F30" s="562"/>
      <c r="G30" s="566"/>
      <c r="H30" s="621">
        <f t="shared" si="0"/>
        <v>2</v>
      </c>
      <c r="I30" s="622">
        <f t="shared" si="1"/>
        <v>2.10522</v>
      </c>
      <c r="J30" s="657"/>
      <c r="K30" s="453"/>
    </row>
    <row r="31" spans="2:11" ht="15.95" customHeight="1">
      <c r="B31" s="111">
        <v>13</v>
      </c>
      <c r="C31" s="560" t="s">
        <v>323</v>
      </c>
      <c r="D31" s="563"/>
      <c r="E31" s="564">
        <v>1</v>
      </c>
      <c r="F31" s="564"/>
      <c r="G31" s="565">
        <v>1</v>
      </c>
      <c r="H31" s="621">
        <f t="shared" si="0"/>
        <v>2</v>
      </c>
      <c r="I31" s="622">
        <f t="shared" si="1"/>
        <v>2.10522</v>
      </c>
      <c r="J31" s="657"/>
      <c r="K31" s="453"/>
    </row>
    <row r="32" spans="2:11" ht="15.95" customHeight="1">
      <c r="B32" s="111">
        <v>14</v>
      </c>
      <c r="C32" s="560" t="s">
        <v>428</v>
      </c>
      <c r="D32" s="563"/>
      <c r="E32" s="564">
        <v>1</v>
      </c>
      <c r="F32" s="564"/>
      <c r="G32" s="565">
        <v>1</v>
      </c>
      <c r="H32" s="621">
        <f t="shared" si="0"/>
        <v>2</v>
      </c>
      <c r="I32" s="622">
        <f t="shared" si="1"/>
        <v>2.10522</v>
      </c>
      <c r="J32" s="657"/>
      <c r="K32" s="112"/>
    </row>
    <row r="33" spans="2:11" ht="15.95" customHeight="1">
      <c r="B33" s="111">
        <v>15</v>
      </c>
      <c r="C33" s="560" t="s">
        <v>409</v>
      </c>
      <c r="D33" s="561"/>
      <c r="E33" s="562">
        <v>5</v>
      </c>
      <c r="F33" s="562"/>
      <c r="G33" s="566">
        <v>2</v>
      </c>
      <c r="H33" s="621">
        <f t="shared" si="0"/>
        <v>7</v>
      </c>
      <c r="I33" s="622">
        <f t="shared" si="1"/>
        <v>7.368270000000001</v>
      </c>
      <c r="J33" s="657"/>
      <c r="K33" s="453"/>
    </row>
    <row r="34" spans="2:11" ht="15.95" customHeight="1">
      <c r="B34" s="111">
        <v>14</v>
      </c>
      <c r="C34" s="560" t="s">
        <v>120</v>
      </c>
      <c r="D34" s="563"/>
      <c r="E34" s="564">
        <v>3</v>
      </c>
      <c r="F34" s="564"/>
      <c r="G34" s="565"/>
      <c r="H34" s="621">
        <f t="shared" si="0"/>
        <v>3</v>
      </c>
      <c r="I34" s="622">
        <f t="shared" si="1"/>
        <v>3.15783</v>
      </c>
      <c r="J34" s="657"/>
      <c r="K34" s="453"/>
    </row>
    <row r="35" spans="2:11" ht="15.95" customHeight="1">
      <c r="B35" s="111">
        <v>15</v>
      </c>
      <c r="C35" s="560" t="s">
        <v>121</v>
      </c>
      <c r="D35" s="563"/>
      <c r="E35" s="564">
        <v>3</v>
      </c>
      <c r="F35" s="564"/>
      <c r="G35" s="565"/>
      <c r="H35" s="621">
        <f t="shared" si="0"/>
        <v>3</v>
      </c>
      <c r="I35" s="622">
        <f t="shared" si="1"/>
        <v>3.15783</v>
      </c>
      <c r="J35" s="657"/>
      <c r="K35" s="453"/>
    </row>
    <row r="36" spans="2:11" ht="15.95" customHeight="1">
      <c r="B36" s="111">
        <v>16</v>
      </c>
      <c r="C36" s="560" t="s">
        <v>62</v>
      </c>
      <c r="D36" s="561"/>
      <c r="E36" s="562">
        <v>5</v>
      </c>
      <c r="F36" s="562"/>
      <c r="G36" s="566">
        <v>1</v>
      </c>
      <c r="H36" s="621">
        <f t="shared" si="0"/>
        <v>6</v>
      </c>
      <c r="I36" s="622">
        <f t="shared" si="1"/>
        <v>6.31566</v>
      </c>
      <c r="J36" s="657"/>
      <c r="K36" s="453"/>
    </row>
    <row r="37" spans="2:11" ht="15.95" customHeight="1">
      <c r="B37" s="111">
        <v>17</v>
      </c>
      <c r="C37" s="560" t="s">
        <v>415</v>
      </c>
      <c r="D37" s="563"/>
      <c r="E37" s="564">
        <v>4</v>
      </c>
      <c r="F37" s="564"/>
      <c r="G37" s="565"/>
      <c r="H37" s="621">
        <f t="shared" si="0"/>
        <v>4</v>
      </c>
      <c r="I37" s="622">
        <f t="shared" si="1"/>
        <v>4.21044</v>
      </c>
      <c r="J37" s="657"/>
      <c r="K37" s="453"/>
    </row>
    <row r="38" spans="2:11" ht="15.95" customHeight="1">
      <c r="B38" s="111">
        <v>16</v>
      </c>
      <c r="C38" s="560" t="s">
        <v>122</v>
      </c>
      <c r="D38" s="563"/>
      <c r="E38" s="564">
        <v>2</v>
      </c>
      <c r="F38" s="564"/>
      <c r="G38" s="565"/>
      <c r="H38" s="621">
        <f t="shared" si="0"/>
        <v>2</v>
      </c>
      <c r="I38" s="622">
        <f t="shared" si="1"/>
        <v>2.10522</v>
      </c>
      <c r="J38" s="658"/>
      <c r="K38" s="453"/>
    </row>
    <row r="39" spans="2:11" ht="15.95" customHeight="1">
      <c r="B39" s="111">
        <v>17</v>
      </c>
      <c r="C39" s="560" t="s">
        <v>324</v>
      </c>
      <c r="D39" s="561"/>
      <c r="E39" s="562">
        <v>16</v>
      </c>
      <c r="F39" s="562"/>
      <c r="G39" s="566">
        <v>10</v>
      </c>
      <c r="H39" s="621">
        <f t="shared" si="0"/>
        <v>26</v>
      </c>
      <c r="I39" s="622">
        <f t="shared" si="1"/>
        <v>27.36786</v>
      </c>
      <c r="J39" s="657"/>
      <c r="K39" s="453"/>
    </row>
    <row r="40" spans="2:11" ht="15.95" customHeight="1">
      <c r="B40" s="111">
        <v>18</v>
      </c>
      <c r="C40" s="560" t="s">
        <v>360</v>
      </c>
      <c r="D40" s="563"/>
      <c r="E40" s="564">
        <v>2</v>
      </c>
      <c r="F40" s="564"/>
      <c r="G40" s="565"/>
      <c r="H40" s="621">
        <f t="shared" si="0"/>
        <v>2</v>
      </c>
      <c r="I40" s="622">
        <f t="shared" si="1"/>
        <v>2.10522</v>
      </c>
      <c r="J40" s="657" t="s">
        <v>361</v>
      </c>
      <c r="K40" s="453"/>
    </row>
    <row r="41" spans="2:11" ht="15.95" customHeight="1">
      <c r="B41" s="111">
        <v>19</v>
      </c>
      <c r="C41" s="560" t="s">
        <v>433</v>
      </c>
      <c r="D41" s="563"/>
      <c r="E41" s="564">
        <v>6</v>
      </c>
      <c r="F41" s="564"/>
      <c r="G41" s="565">
        <v>2</v>
      </c>
      <c r="H41" s="621">
        <f t="shared" si="0"/>
        <v>8</v>
      </c>
      <c r="I41" s="622">
        <f t="shared" si="1"/>
        <v>8.42088</v>
      </c>
      <c r="J41" s="657"/>
      <c r="K41" s="453"/>
    </row>
    <row r="42" spans="2:11" ht="15.95" customHeight="1">
      <c r="B42" s="111">
        <v>18</v>
      </c>
      <c r="C42" s="560" t="s">
        <v>705</v>
      </c>
      <c r="D42" s="563"/>
      <c r="E42" s="564">
        <v>8</v>
      </c>
      <c r="F42" s="564"/>
      <c r="G42" s="565">
        <v>4</v>
      </c>
      <c r="H42" s="621">
        <f t="shared" si="0"/>
        <v>12</v>
      </c>
      <c r="I42" s="622">
        <f t="shared" si="1"/>
        <v>12.63132</v>
      </c>
      <c r="J42" s="657"/>
      <c r="K42" s="453"/>
    </row>
    <row r="43" spans="2:11" ht="15.95" customHeight="1">
      <c r="B43" s="111">
        <v>19</v>
      </c>
      <c r="C43" s="560" t="s">
        <v>387</v>
      </c>
      <c r="D43" s="561"/>
      <c r="E43" s="562">
        <v>1</v>
      </c>
      <c r="F43" s="562"/>
      <c r="G43" s="566"/>
      <c r="H43" s="621">
        <f t="shared" si="0"/>
        <v>1</v>
      </c>
      <c r="I43" s="622">
        <f t="shared" si="1"/>
        <v>1.05261</v>
      </c>
      <c r="J43" s="657"/>
      <c r="K43" s="453"/>
    </row>
    <row r="44" spans="2:11" ht="15.95" customHeight="1">
      <c r="B44" s="111">
        <v>20</v>
      </c>
      <c r="C44" s="560" t="s">
        <v>140</v>
      </c>
      <c r="D44" s="561"/>
      <c r="E44" s="562">
        <v>2</v>
      </c>
      <c r="F44" s="562"/>
      <c r="G44" s="566"/>
      <c r="H44" s="621">
        <f t="shared" si="0"/>
        <v>2</v>
      </c>
      <c r="I44" s="622">
        <f t="shared" si="1"/>
        <v>2.10522</v>
      </c>
      <c r="J44" s="657"/>
      <c r="K44" s="453"/>
    </row>
    <row r="45" spans="2:11" ht="15.95" customHeight="1">
      <c r="B45" s="111">
        <v>21</v>
      </c>
      <c r="C45" s="560" t="s">
        <v>67</v>
      </c>
      <c r="D45" s="561"/>
      <c r="E45" s="562">
        <v>2</v>
      </c>
      <c r="F45" s="562"/>
      <c r="G45" s="566"/>
      <c r="H45" s="621">
        <f t="shared" si="0"/>
        <v>2</v>
      </c>
      <c r="I45" s="622">
        <f t="shared" si="1"/>
        <v>2.10522</v>
      </c>
      <c r="J45" s="657"/>
      <c r="K45" s="453"/>
    </row>
    <row r="46" spans="2:11" ht="15.95" customHeight="1">
      <c r="B46" s="111">
        <v>20</v>
      </c>
      <c r="C46" s="560" t="s">
        <v>328</v>
      </c>
      <c r="D46" s="563"/>
      <c r="E46" s="564">
        <v>2</v>
      </c>
      <c r="F46" s="564"/>
      <c r="G46" s="565"/>
      <c r="H46" s="621">
        <f t="shared" si="0"/>
        <v>2</v>
      </c>
      <c r="I46" s="622">
        <f t="shared" si="1"/>
        <v>2.10522</v>
      </c>
      <c r="J46" s="657"/>
      <c r="K46" s="453"/>
    </row>
    <row r="47" spans="2:11" ht="15.95" customHeight="1">
      <c r="B47" s="111">
        <v>21</v>
      </c>
      <c r="C47" s="659" t="s">
        <v>393</v>
      </c>
      <c r="D47" s="561"/>
      <c r="E47" s="562">
        <v>2</v>
      </c>
      <c r="F47" s="562"/>
      <c r="G47" s="566"/>
      <c r="H47" s="621">
        <f t="shared" si="0"/>
        <v>2</v>
      </c>
      <c r="I47" s="622">
        <f t="shared" si="1"/>
        <v>2.10522</v>
      </c>
      <c r="J47" s="657"/>
      <c r="K47" s="453"/>
    </row>
    <row r="48" spans="2:11" ht="15.95" customHeight="1">
      <c r="B48" s="111">
        <v>22</v>
      </c>
      <c r="C48" s="560" t="s">
        <v>391</v>
      </c>
      <c r="D48" s="561"/>
      <c r="E48" s="562">
        <v>2</v>
      </c>
      <c r="F48" s="562"/>
      <c r="G48" s="566">
        <v>1</v>
      </c>
      <c r="H48" s="621">
        <f t="shared" si="0"/>
        <v>3</v>
      </c>
      <c r="I48" s="622">
        <f t="shared" si="1"/>
        <v>3.15783</v>
      </c>
      <c r="J48" s="657"/>
      <c r="K48" s="660"/>
    </row>
    <row r="49" spans="2:11" ht="15.95" customHeight="1">
      <c r="B49" s="111">
        <v>23</v>
      </c>
      <c r="C49" s="560" t="s">
        <v>68</v>
      </c>
      <c r="D49" s="561"/>
      <c r="E49" s="562">
        <v>5</v>
      </c>
      <c r="F49" s="562">
        <v>2</v>
      </c>
      <c r="G49" s="566"/>
      <c r="H49" s="621">
        <f t="shared" si="0"/>
        <v>7</v>
      </c>
      <c r="I49" s="622">
        <f t="shared" si="1"/>
        <v>7.368270000000001</v>
      </c>
      <c r="J49" s="657"/>
      <c r="K49" s="453"/>
    </row>
    <row r="50" spans="2:11" ht="15.95" customHeight="1">
      <c r="B50" s="111">
        <v>22</v>
      </c>
      <c r="C50" s="560" t="s">
        <v>392</v>
      </c>
      <c r="D50" s="561"/>
      <c r="E50" s="562">
        <v>1</v>
      </c>
      <c r="F50" s="562"/>
      <c r="G50" s="566"/>
      <c r="H50" s="621">
        <f t="shared" si="0"/>
        <v>1</v>
      </c>
      <c r="I50" s="622">
        <f t="shared" si="1"/>
        <v>1.05261</v>
      </c>
      <c r="J50" s="657"/>
      <c r="K50" s="453"/>
    </row>
    <row r="51" spans="2:11" ht="15.95" customHeight="1">
      <c r="B51" s="111">
        <v>23</v>
      </c>
      <c r="C51" s="560" t="s">
        <v>124</v>
      </c>
      <c r="D51" s="561"/>
      <c r="E51" s="562">
        <v>2</v>
      </c>
      <c r="F51" s="562"/>
      <c r="G51" s="566"/>
      <c r="H51" s="621">
        <f t="shared" si="0"/>
        <v>2</v>
      </c>
      <c r="I51" s="622">
        <f t="shared" si="1"/>
        <v>2.10522</v>
      </c>
      <c r="J51" s="657"/>
      <c r="K51" s="453"/>
    </row>
    <row r="52" spans="2:11" ht="15.95" customHeight="1">
      <c r="B52" s="111">
        <v>24</v>
      </c>
      <c r="C52" s="560" t="s">
        <v>530</v>
      </c>
      <c r="D52" s="561"/>
      <c r="E52" s="562">
        <v>2</v>
      </c>
      <c r="F52" s="562"/>
      <c r="G52" s="566"/>
      <c r="H52" s="621">
        <f t="shared" si="0"/>
        <v>2</v>
      </c>
      <c r="I52" s="622">
        <f t="shared" si="1"/>
        <v>2.10522</v>
      </c>
      <c r="J52" s="657"/>
      <c r="K52" s="453"/>
    </row>
    <row r="53" spans="2:11" ht="15.95" customHeight="1">
      <c r="B53" s="111">
        <v>25</v>
      </c>
      <c r="C53" s="560" t="s">
        <v>160</v>
      </c>
      <c r="D53" s="561"/>
      <c r="E53" s="562">
        <v>2</v>
      </c>
      <c r="F53" s="562"/>
      <c r="G53" s="566"/>
      <c r="H53" s="621">
        <f t="shared" si="0"/>
        <v>2</v>
      </c>
      <c r="I53" s="622">
        <f t="shared" si="1"/>
        <v>2.10522</v>
      </c>
      <c r="J53" s="657"/>
      <c r="K53" s="453"/>
    </row>
    <row r="54" spans="2:11" ht="15.95" customHeight="1">
      <c r="B54" s="111">
        <v>24</v>
      </c>
      <c r="C54" s="560" t="s">
        <v>537</v>
      </c>
      <c r="D54" s="561"/>
      <c r="E54" s="562">
        <v>2</v>
      </c>
      <c r="F54" s="562"/>
      <c r="G54" s="566">
        <v>2</v>
      </c>
      <c r="H54" s="621">
        <f t="shared" si="0"/>
        <v>4</v>
      </c>
      <c r="I54" s="622">
        <f t="shared" si="1"/>
        <v>4.21044</v>
      </c>
      <c r="J54" s="657"/>
      <c r="K54" s="453"/>
    </row>
    <row r="55" spans="2:11" ht="15.95" customHeight="1">
      <c r="B55" s="111">
        <v>25</v>
      </c>
      <c r="C55" s="560" t="s">
        <v>164</v>
      </c>
      <c r="D55" s="561"/>
      <c r="E55" s="562">
        <v>2</v>
      </c>
      <c r="F55" s="562"/>
      <c r="G55" s="566"/>
      <c r="H55" s="621">
        <f t="shared" si="0"/>
        <v>2</v>
      </c>
      <c r="I55" s="622">
        <f t="shared" si="1"/>
        <v>2.10522</v>
      </c>
      <c r="J55" s="657"/>
      <c r="K55" s="453"/>
    </row>
    <row r="56" spans="2:11" ht="17.25" customHeight="1" thickBot="1">
      <c r="B56" s="111">
        <v>26</v>
      </c>
      <c r="C56" s="560" t="s">
        <v>561</v>
      </c>
      <c r="D56" s="561"/>
      <c r="E56" s="562">
        <v>2</v>
      </c>
      <c r="F56" s="562"/>
      <c r="G56" s="566">
        <v>2</v>
      </c>
      <c r="H56" s="621">
        <f t="shared" si="0"/>
        <v>4</v>
      </c>
      <c r="I56" s="622">
        <f t="shared" si="1"/>
        <v>4.21044</v>
      </c>
      <c r="J56" s="657"/>
      <c r="K56" s="453"/>
    </row>
    <row r="57" spans="2:11" ht="28.5" customHeight="1" hidden="1">
      <c r="B57" s="111">
        <v>27</v>
      </c>
      <c r="C57" s="560" t="s">
        <v>563</v>
      </c>
      <c r="D57" s="561"/>
      <c r="E57" s="562">
        <v>3</v>
      </c>
      <c r="F57" s="562"/>
      <c r="G57" s="566">
        <v>3</v>
      </c>
      <c r="H57" s="621">
        <f t="shared" si="0"/>
        <v>6</v>
      </c>
      <c r="I57" s="622">
        <v>6.31566</v>
      </c>
      <c r="J57" s="657"/>
      <c r="K57" s="453"/>
    </row>
    <row r="58" spans="2:11" ht="13.5" thickBot="1">
      <c r="B58" s="115"/>
      <c r="C58" s="661" t="s">
        <v>110</v>
      </c>
      <c r="D58" s="662">
        <v>0</v>
      </c>
      <c r="E58" s="662">
        <v>157</v>
      </c>
      <c r="F58" s="662">
        <v>2</v>
      </c>
      <c r="G58" s="662">
        <v>56</v>
      </c>
      <c r="H58" s="663">
        <f>SUM(H7:H57)</f>
        <v>215</v>
      </c>
      <c r="I58" s="624">
        <f>SUM(I7:I57)</f>
        <v>226.31115000000005</v>
      </c>
      <c r="J58" s="599"/>
      <c r="K58" s="453"/>
    </row>
    <row r="59" spans="2:10" ht="16.5" thickBot="1">
      <c r="B59" s="115"/>
      <c r="C59" s="664" t="s">
        <v>125</v>
      </c>
      <c r="D59" s="662">
        <f>D58+E58+F58+G58</f>
        <v>215</v>
      </c>
      <c r="E59" s="567"/>
      <c r="F59" s="665"/>
      <c r="G59" s="568"/>
      <c r="H59" s="569"/>
      <c r="I59" s="624">
        <f>I58</f>
        <v>226.31115000000005</v>
      </c>
      <c r="J59" s="666"/>
    </row>
    <row r="60" spans="2:10" ht="12.75">
      <c r="B60" s="116"/>
      <c r="C60" s="57"/>
      <c r="D60" s="57"/>
      <c r="E60" s="116"/>
      <c r="F60" s="57"/>
      <c r="G60" s="116"/>
      <c r="H60" s="116"/>
      <c r="I60" s="116"/>
      <c r="J60" s="57"/>
    </row>
    <row r="61" spans="2:10" ht="12.75">
      <c r="B61" s="116"/>
      <c r="C61" s="57" t="s">
        <v>95</v>
      </c>
      <c r="D61" s="57"/>
      <c r="E61" s="116"/>
      <c r="F61" s="57" t="s">
        <v>38</v>
      </c>
      <c r="G61" s="116"/>
      <c r="H61" s="116"/>
      <c r="I61" s="116"/>
      <c r="J61" s="57"/>
    </row>
    <row r="62" spans="2:10" ht="12.75">
      <c r="B62" s="116"/>
      <c r="C62" s="57"/>
      <c r="D62" s="57"/>
      <c r="E62" s="116"/>
      <c r="F62" s="57"/>
      <c r="G62" s="116"/>
      <c r="H62" s="116"/>
      <c r="I62" s="116"/>
      <c r="J62" s="57"/>
    </row>
  </sheetData>
  <mergeCells count="11">
    <mergeCell ref="J5:J6"/>
    <mergeCell ref="H5:H6"/>
    <mergeCell ref="F1:I1"/>
    <mergeCell ref="C3:I4"/>
    <mergeCell ref="B5:B6"/>
    <mergeCell ref="C5:C6"/>
    <mergeCell ref="D5:D6"/>
    <mergeCell ref="E5:E6"/>
    <mergeCell ref="F5:F6"/>
    <mergeCell ref="G5:G6"/>
    <mergeCell ref="I5:I6"/>
  </mergeCells>
  <printOptions horizontalCentered="1"/>
  <pageMargins left="0.15748031496062992" right="0.15748031496062992" top="0.1968503937007874" bottom="0.1968503937007874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69"/>
  <sheetViews>
    <sheetView workbookViewId="0" topLeftCell="A58">
      <selection activeCell="L88" sqref="L88"/>
    </sheetView>
  </sheetViews>
  <sheetFormatPr defaultColWidth="9.00390625" defaultRowHeight="12.75"/>
  <cols>
    <col min="1" max="1" width="4.375" style="0" customWidth="1"/>
    <col min="2" max="2" width="5.00390625" style="0" customWidth="1"/>
    <col min="3" max="3" width="26.00390625" style="0" customWidth="1"/>
    <col min="4" max="4" width="13.125" style="0" bestFit="1" customWidth="1"/>
    <col min="5" max="5" width="12.125" style="0" customWidth="1"/>
    <col min="6" max="6" width="12.125" style="0" hidden="1" customWidth="1"/>
    <col min="7" max="7" width="12.125" style="0" customWidth="1"/>
    <col min="8" max="11" width="9.00390625" style="0" hidden="1" customWidth="1"/>
    <col min="12" max="12" width="41.875" style="0" customWidth="1"/>
    <col min="13" max="17" width="9.00390625" style="0" hidden="1" customWidth="1"/>
  </cols>
  <sheetData>
    <row r="2" spans="2:14" ht="72" customHeight="1">
      <c r="B2" s="29"/>
      <c r="C2" s="29"/>
      <c r="D2" s="29"/>
      <c r="E2" s="348"/>
      <c r="F2" s="348"/>
      <c r="G2" s="348"/>
      <c r="H2" s="348"/>
      <c r="I2" s="2028" t="s">
        <v>227</v>
      </c>
      <c r="J2" s="2028"/>
      <c r="K2" s="2028"/>
      <c r="L2" s="2028"/>
      <c r="M2" s="29"/>
      <c r="N2" s="29"/>
    </row>
    <row r="3" spans="2:14" ht="21.75" customHeight="1">
      <c r="B3" s="2029" t="s">
        <v>228</v>
      </c>
      <c r="C3" s="2029"/>
      <c r="D3" s="2029"/>
      <c r="E3" s="2029"/>
      <c r="F3" s="2029"/>
      <c r="G3" s="2029"/>
      <c r="H3" s="2029"/>
      <c r="I3" s="2029"/>
      <c r="J3" s="2029"/>
      <c r="K3" s="2029"/>
      <c r="L3" s="2029"/>
      <c r="M3" s="29"/>
      <c r="N3" s="29"/>
    </row>
    <row r="4" spans="2:14" ht="18" customHeight="1" thickBot="1">
      <c r="B4" s="1958" t="s">
        <v>298</v>
      </c>
      <c r="C4" s="1958"/>
      <c r="D4" s="1958"/>
      <c r="E4" s="1958"/>
      <c r="F4" s="1958"/>
      <c r="G4" s="1958"/>
      <c r="H4" s="1958"/>
      <c r="I4" s="1958"/>
      <c r="J4" s="1958"/>
      <c r="K4" s="1958"/>
      <c r="L4" s="1958"/>
      <c r="M4" s="29"/>
      <c r="N4" s="29"/>
    </row>
    <row r="5" spans="2:17" ht="26.25" thickBot="1">
      <c r="B5" s="2046" t="s">
        <v>44</v>
      </c>
      <c r="C5" s="2032" t="s">
        <v>6</v>
      </c>
      <c r="D5" s="2048" t="s">
        <v>229</v>
      </c>
      <c r="E5" s="2050" t="s">
        <v>8</v>
      </c>
      <c r="F5" s="2051"/>
      <c r="G5" s="2052"/>
      <c r="H5" s="2050" t="s">
        <v>47</v>
      </c>
      <c r="I5" s="2052"/>
      <c r="J5" s="350" t="s">
        <v>230</v>
      </c>
      <c r="K5" s="351" t="s">
        <v>230</v>
      </c>
      <c r="L5" s="2053" t="s">
        <v>117</v>
      </c>
      <c r="M5" s="2043" t="s">
        <v>231</v>
      </c>
      <c r="N5" s="2044"/>
      <c r="O5" s="2044"/>
      <c r="P5" s="2044"/>
      <c r="Q5" s="2045"/>
    </row>
    <row r="6" spans="2:17" ht="16.5" thickBot="1">
      <c r="B6" s="2047"/>
      <c r="C6" s="2033"/>
      <c r="D6" s="2049"/>
      <c r="E6" s="352" t="s">
        <v>232</v>
      </c>
      <c r="F6" s="353" t="s">
        <v>233</v>
      </c>
      <c r="G6" s="910" t="s">
        <v>234</v>
      </c>
      <c r="H6" s="352" t="s">
        <v>232</v>
      </c>
      <c r="I6" s="354" t="s">
        <v>133</v>
      </c>
      <c r="J6" s="352" t="s">
        <v>232</v>
      </c>
      <c r="K6" s="240" t="s">
        <v>234</v>
      </c>
      <c r="L6" s="2054"/>
      <c r="M6" s="355" t="s">
        <v>235</v>
      </c>
      <c r="N6" s="356" t="s">
        <v>133</v>
      </c>
      <c r="O6" s="355" t="s">
        <v>235</v>
      </c>
      <c r="P6" s="357" t="s">
        <v>234</v>
      </c>
      <c r="Q6" s="358"/>
    </row>
    <row r="7" spans="1:17" ht="17.1" customHeight="1">
      <c r="A7" s="20"/>
      <c r="B7" s="359">
        <v>1</v>
      </c>
      <c r="C7" s="686" t="s">
        <v>307</v>
      </c>
      <c r="D7" s="570">
        <v>6</v>
      </c>
      <c r="E7" s="571">
        <f>D7/1000</f>
        <v>0.006</v>
      </c>
      <c r="F7" s="570">
        <v>1187.36</v>
      </c>
      <c r="G7" s="911">
        <f>E7*F7</f>
        <v>7.12416</v>
      </c>
      <c r="H7" s="362"/>
      <c r="I7" s="363"/>
      <c r="J7" s="362"/>
      <c r="K7" s="364"/>
      <c r="L7" s="365" t="s">
        <v>368</v>
      </c>
      <c r="M7" s="366"/>
      <c r="N7" s="367"/>
      <c r="O7" s="300"/>
      <c r="P7" s="368"/>
      <c r="Q7" s="369"/>
    </row>
    <row r="8" spans="1:17" ht="17.1" customHeight="1">
      <c r="A8" s="20"/>
      <c r="B8" s="359">
        <v>2</v>
      </c>
      <c r="C8" s="686" t="s">
        <v>307</v>
      </c>
      <c r="D8" s="802">
        <v>93</v>
      </c>
      <c r="E8" s="571">
        <v>0.0093</v>
      </c>
      <c r="F8" s="570">
        <v>246.56</v>
      </c>
      <c r="G8" s="911">
        <f aca="true" t="shared" si="0" ref="G8:G64">E8*F8</f>
        <v>2.293008</v>
      </c>
      <c r="H8" s="362"/>
      <c r="I8" s="363"/>
      <c r="J8" s="362"/>
      <c r="K8" s="364"/>
      <c r="L8" s="83" t="s">
        <v>366</v>
      </c>
      <c r="M8" s="366"/>
      <c r="N8" s="367"/>
      <c r="O8" s="300"/>
      <c r="P8" s="368"/>
      <c r="Q8" s="369"/>
    </row>
    <row r="9" spans="1:17" ht="17.1" customHeight="1">
      <c r="A9" s="20"/>
      <c r="B9" s="359">
        <v>3</v>
      </c>
      <c r="C9" s="686" t="s">
        <v>330</v>
      </c>
      <c r="D9" s="803">
        <v>89</v>
      </c>
      <c r="E9" s="571">
        <v>0.0089</v>
      </c>
      <c r="F9" s="570">
        <v>246.56</v>
      </c>
      <c r="G9" s="911">
        <f t="shared" si="0"/>
        <v>2.194384</v>
      </c>
      <c r="H9" s="362"/>
      <c r="I9" s="363"/>
      <c r="J9" s="362"/>
      <c r="K9" s="364"/>
      <c r="L9" s="86" t="s">
        <v>367</v>
      </c>
      <c r="M9" s="366"/>
      <c r="N9" s="367"/>
      <c r="O9" s="300"/>
      <c r="P9" s="368"/>
      <c r="Q9" s="369"/>
    </row>
    <row r="10" spans="1:17" ht="17.1" customHeight="1">
      <c r="A10" s="20"/>
      <c r="B10" s="359">
        <v>4</v>
      </c>
      <c r="C10" s="88" t="s">
        <v>333</v>
      </c>
      <c r="D10" s="570">
        <v>40</v>
      </c>
      <c r="E10" s="571">
        <f>0.004</f>
        <v>0.004</v>
      </c>
      <c r="F10" s="570">
        <v>246.56</v>
      </c>
      <c r="G10" s="911">
        <f t="shared" si="0"/>
        <v>0.98624</v>
      </c>
      <c r="H10" s="362"/>
      <c r="I10" s="363"/>
      <c r="J10" s="362"/>
      <c r="K10" s="364"/>
      <c r="L10" s="86" t="s">
        <v>334</v>
      </c>
      <c r="M10" s="366"/>
      <c r="N10" s="367"/>
      <c r="O10" s="300"/>
      <c r="P10" s="368"/>
      <c r="Q10" s="369"/>
    </row>
    <row r="11" spans="1:17" ht="17.1" customHeight="1">
      <c r="A11" s="20"/>
      <c r="B11" s="359">
        <v>5</v>
      </c>
      <c r="C11" s="88" t="s">
        <v>72</v>
      </c>
      <c r="D11" s="570">
        <v>210</v>
      </c>
      <c r="E11" s="571">
        <v>0.021</v>
      </c>
      <c r="F11" s="570">
        <v>246.56</v>
      </c>
      <c r="G11" s="911">
        <f t="shared" si="0"/>
        <v>5.17776</v>
      </c>
      <c r="H11" s="362"/>
      <c r="I11" s="363"/>
      <c r="J11" s="362"/>
      <c r="K11" s="364"/>
      <c r="L11" s="86" t="s">
        <v>353</v>
      </c>
      <c r="M11" s="366"/>
      <c r="N11" s="367"/>
      <c r="O11" s="300"/>
      <c r="P11" s="368"/>
      <c r="Q11" s="369"/>
    </row>
    <row r="12" spans="1:17" ht="17.1" customHeight="1">
      <c r="A12" s="20"/>
      <c r="B12" s="359">
        <v>6</v>
      </c>
      <c r="C12" s="88" t="s">
        <v>26</v>
      </c>
      <c r="D12" s="570">
        <v>170</v>
      </c>
      <c r="E12" s="571">
        <v>0.017</v>
      </c>
      <c r="F12" s="570">
        <v>246.56</v>
      </c>
      <c r="G12" s="911">
        <f t="shared" si="0"/>
        <v>4.191520000000001</v>
      </c>
      <c r="H12" s="362"/>
      <c r="I12" s="363"/>
      <c r="J12" s="362"/>
      <c r="K12" s="364"/>
      <c r="L12" s="86" t="s">
        <v>354</v>
      </c>
      <c r="M12" s="366"/>
      <c r="N12" s="367"/>
      <c r="O12" s="300"/>
      <c r="P12" s="368"/>
      <c r="Q12" s="369"/>
    </row>
    <row r="13" spans="1:17" ht="17.1" customHeight="1">
      <c r="A13" s="20"/>
      <c r="B13" s="359">
        <v>7</v>
      </c>
      <c r="C13" s="114" t="s">
        <v>158</v>
      </c>
      <c r="D13" s="572">
        <v>2</v>
      </c>
      <c r="E13" s="571">
        <f>D13/1000</f>
        <v>0.002</v>
      </c>
      <c r="F13" s="570">
        <v>1187.36</v>
      </c>
      <c r="G13" s="911">
        <f t="shared" si="0"/>
        <v>2.37472</v>
      </c>
      <c r="H13" s="370"/>
      <c r="I13" s="363"/>
      <c r="J13" s="370"/>
      <c r="K13" s="371"/>
      <c r="L13" s="372" t="s">
        <v>341</v>
      </c>
      <c r="M13" s="366"/>
      <c r="N13" s="367"/>
      <c r="O13" s="300"/>
      <c r="P13" s="368"/>
      <c r="Q13" s="369"/>
    </row>
    <row r="14" spans="1:17" ht="17.1" customHeight="1">
      <c r="A14" s="20"/>
      <c r="B14" s="359">
        <v>8</v>
      </c>
      <c r="C14" s="89" t="s">
        <v>28</v>
      </c>
      <c r="D14" s="570">
        <v>40</v>
      </c>
      <c r="E14" s="571">
        <v>0.004</v>
      </c>
      <c r="F14" s="570">
        <v>246.56</v>
      </c>
      <c r="G14" s="911">
        <f t="shared" si="0"/>
        <v>0.98624</v>
      </c>
      <c r="H14" s="362"/>
      <c r="I14" s="363"/>
      <c r="J14" s="362"/>
      <c r="K14" s="364"/>
      <c r="L14" s="83" t="s">
        <v>355</v>
      </c>
      <c r="M14" s="366"/>
      <c r="N14" s="367"/>
      <c r="O14" s="300"/>
      <c r="P14" s="368"/>
      <c r="Q14" s="369"/>
    </row>
    <row r="15" spans="1:17" ht="17.1" customHeight="1">
      <c r="A15" s="20"/>
      <c r="B15" s="359">
        <v>9</v>
      </c>
      <c r="C15" s="89" t="s">
        <v>343</v>
      </c>
      <c r="D15" s="570">
        <v>60</v>
      </c>
      <c r="E15" s="571">
        <v>0.006</v>
      </c>
      <c r="F15" s="570">
        <v>246.56</v>
      </c>
      <c r="G15" s="911">
        <f t="shared" si="0"/>
        <v>1.47936</v>
      </c>
      <c r="H15" s="362"/>
      <c r="I15" s="363"/>
      <c r="J15" s="362"/>
      <c r="K15" s="364"/>
      <c r="L15" s="86" t="s">
        <v>351</v>
      </c>
      <c r="M15" s="366"/>
      <c r="N15" s="367"/>
      <c r="O15" s="300"/>
      <c r="P15" s="368"/>
      <c r="Q15" s="369"/>
    </row>
    <row r="16" spans="1:17" ht="17.1" customHeight="1">
      <c r="A16" s="20"/>
      <c r="B16" s="359">
        <v>10</v>
      </c>
      <c r="C16" s="89" t="s">
        <v>313</v>
      </c>
      <c r="D16" s="570">
        <v>50</v>
      </c>
      <c r="E16" s="571">
        <v>0.005</v>
      </c>
      <c r="F16" s="570">
        <v>246.56</v>
      </c>
      <c r="G16" s="911">
        <f t="shared" si="0"/>
        <v>1.2328000000000001</v>
      </c>
      <c r="H16" s="362"/>
      <c r="I16" s="363"/>
      <c r="J16" s="362"/>
      <c r="K16" s="364"/>
      <c r="L16" s="86" t="s">
        <v>352</v>
      </c>
      <c r="M16" s="366"/>
      <c r="N16" s="367"/>
      <c r="O16" s="300"/>
      <c r="P16" s="368"/>
      <c r="Q16" s="369"/>
    </row>
    <row r="17" spans="1:17" ht="17.1" customHeight="1">
      <c r="A17" s="20"/>
      <c r="B17" s="359">
        <v>11</v>
      </c>
      <c r="C17" s="89" t="s">
        <v>58</v>
      </c>
      <c r="D17" s="570">
        <v>99</v>
      </c>
      <c r="E17" s="571">
        <v>0.0099</v>
      </c>
      <c r="F17" s="570">
        <v>246.56</v>
      </c>
      <c r="G17" s="911">
        <f t="shared" si="0"/>
        <v>2.440944</v>
      </c>
      <c r="H17" s="362"/>
      <c r="I17" s="363"/>
      <c r="J17" s="362"/>
      <c r="K17" s="364"/>
      <c r="L17" s="86" t="s">
        <v>650</v>
      </c>
      <c r="M17" s="366"/>
      <c r="N17" s="367"/>
      <c r="O17" s="300"/>
      <c r="P17" s="368"/>
      <c r="Q17" s="369"/>
    </row>
    <row r="18" spans="1:17" ht="17.1" customHeight="1">
      <c r="A18" s="20"/>
      <c r="B18" s="359">
        <v>12</v>
      </c>
      <c r="C18" s="89" t="s">
        <v>358</v>
      </c>
      <c r="D18" s="570">
        <v>175</v>
      </c>
      <c r="E18" s="571">
        <v>0.0175</v>
      </c>
      <c r="F18" s="570">
        <v>246.56</v>
      </c>
      <c r="G18" s="911">
        <f t="shared" si="0"/>
        <v>4.314800000000001</v>
      </c>
      <c r="H18" s="362"/>
      <c r="I18" s="363"/>
      <c r="J18" s="362"/>
      <c r="K18" s="364"/>
      <c r="L18" s="86" t="s">
        <v>651</v>
      </c>
      <c r="M18" s="366"/>
      <c r="N18" s="367"/>
      <c r="O18" s="300"/>
      <c r="P18" s="368"/>
      <c r="Q18" s="369"/>
    </row>
    <row r="19" spans="1:17" ht="17.1" customHeight="1">
      <c r="A19" s="20"/>
      <c r="B19" s="359">
        <v>13</v>
      </c>
      <c r="C19" s="114" t="s">
        <v>104</v>
      </c>
      <c r="D19" s="572">
        <v>2</v>
      </c>
      <c r="E19" s="571">
        <f>D19/1000</f>
        <v>0.002</v>
      </c>
      <c r="F19" s="570">
        <v>1187.36</v>
      </c>
      <c r="G19" s="911">
        <f t="shared" si="0"/>
        <v>2.37472</v>
      </c>
      <c r="H19" s="370"/>
      <c r="I19" s="363"/>
      <c r="J19" s="377"/>
      <c r="K19" s="371"/>
      <c r="L19" s="372" t="s">
        <v>479</v>
      </c>
      <c r="M19" s="373"/>
      <c r="N19" s="374"/>
      <c r="O19" s="294"/>
      <c r="P19" s="375"/>
      <c r="Q19" s="376"/>
    </row>
    <row r="20" spans="1:17" ht="17.1" customHeight="1">
      <c r="A20" s="20"/>
      <c r="B20" s="359">
        <v>14</v>
      </c>
      <c r="C20" s="519" t="s">
        <v>59</v>
      </c>
      <c r="D20" s="803">
        <v>30</v>
      </c>
      <c r="E20" s="571">
        <v>0.003</v>
      </c>
      <c r="F20" s="570">
        <v>246.56</v>
      </c>
      <c r="G20" s="911">
        <f t="shared" si="0"/>
        <v>0.73968</v>
      </c>
      <c r="H20" s="370"/>
      <c r="I20" s="363"/>
      <c r="J20" s="377"/>
      <c r="K20" s="371"/>
      <c r="L20" s="86" t="s">
        <v>480</v>
      </c>
      <c r="M20" s="373"/>
      <c r="N20" s="374"/>
      <c r="O20" s="294"/>
      <c r="P20" s="375"/>
      <c r="Q20" s="376"/>
    </row>
    <row r="21" spans="1:17" ht="17.1" customHeight="1">
      <c r="A21" s="20"/>
      <c r="B21" s="359">
        <v>15</v>
      </c>
      <c r="C21" s="519" t="s">
        <v>482</v>
      </c>
      <c r="D21" s="803">
        <v>50</v>
      </c>
      <c r="E21" s="571">
        <v>0.005</v>
      </c>
      <c r="F21" s="570">
        <v>246.56</v>
      </c>
      <c r="G21" s="911">
        <f t="shared" si="0"/>
        <v>1.2328000000000001</v>
      </c>
      <c r="H21" s="370"/>
      <c r="I21" s="363"/>
      <c r="J21" s="377"/>
      <c r="K21" s="371"/>
      <c r="L21" s="83" t="s">
        <v>352</v>
      </c>
      <c r="M21" s="373"/>
      <c r="N21" s="374"/>
      <c r="O21" s="294"/>
      <c r="P21" s="375"/>
      <c r="Q21" s="376"/>
    </row>
    <row r="22" spans="1:17" ht="17.1" customHeight="1">
      <c r="A22" s="20"/>
      <c r="B22" s="359">
        <v>16</v>
      </c>
      <c r="C22" s="519" t="s">
        <v>314</v>
      </c>
      <c r="D22" s="804">
        <v>89</v>
      </c>
      <c r="E22" s="571">
        <v>0.0089</v>
      </c>
      <c r="F22" s="570">
        <v>246.56</v>
      </c>
      <c r="G22" s="911">
        <f t="shared" si="0"/>
        <v>2.194384</v>
      </c>
      <c r="H22" s="370"/>
      <c r="I22" s="363"/>
      <c r="J22" s="377"/>
      <c r="K22" s="371"/>
      <c r="L22" s="83" t="s">
        <v>650</v>
      </c>
      <c r="M22" s="373"/>
      <c r="N22" s="374"/>
      <c r="O22" s="294"/>
      <c r="P22" s="375"/>
      <c r="Q22" s="376"/>
    </row>
    <row r="23" spans="1:17" ht="17.1" customHeight="1">
      <c r="A23" s="20"/>
      <c r="B23" s="359">
        <v>17</v>
      </c>
      <c r="C23" s="114" t="s">
        <v>316</v>
      </c>
      <c r="D23" s="572">
        <v>5</v>
      </c>
      <c r="E23" s="571">
        <f aca="true" t="shared" si="1" ref="E23:E40">D23/1000</f>
        <v>0.005</v>
      </c>
      <c r="F23" s="570">
        <v>1187.36</v>
      </c>
      <c r="G23" s="911">
        <f t="shared" si="0"/>
        <v>5.9368</v>
      </c>
      <c r="H23" s="370"/>
      <c r="I23" s="363"/>
      <c r="J23" s="377"/>
      <c r="K23" s="371"/>
      <c r="L23" s="372" t="s">
        <v>403</v>
      </c>
      <c r="M23" s="373"/>
      <c r="N23" s="374"/>
      <c r="O23" s="294"/>
      <c r="P23" s="375"/>
      <c r="Q23" s="376"/>
    </row>
    <row r="24" spans="1:17" ht="17.1" customHeight="1">
      <c r="A24" s="20"/>
      <c r="B24" s="359">
        <v>18</v>
      </c>
      <c r="C24" s="114" t="s">
        <v>317</v>
      </c>
      <c r="D24" s="572">
        <v>15</v>
      </c>
      <c r="E24" s="571">
        <f t="shared" si="1"/>
        <v>0.015</v>
      </c>
      <c r="F24" s="570">
        <v>1187.36</v>
      </c>
      <c r="G24" s="911">
        <f t="shared" si="0"/>
        <v>17.810399999999998</v>
      </c>
      <c r="H24" s="370"/>
      <c r="I24" s="363"/>
      <c r="J24" s="377"/>
      <c r="K24" s="371"/>
      <c r="L24" s="372"/>
      <c r="M24" s="373"/>
      <c r="N24" s="374"/>
      <c r="O24" s="294"/>
      <c r="P24" s="375"/>
      <c r="Q24" s="376"/>
    </row>
    <row r="25" spans="1:17" ht="17.1" customHeight="1">
      <c r="A25" s="20"/>
      <c r="B25" s="359">
        <v>19</v>
      </c>
      <c r="C25" s="114" t="s">
        <v>501</v>
      </c>
      <c r="D25" s="573">
        <v>2</v>
      </c>
      <c r="E25" s="571">
        <f t="shared" si="1"/>
        <v>0.002</v>
      </c>
      <c r="F25" s="570">
        <v>1187.36</v>
      </c>
      <c r="G25" s="911">
        <f t="shared" si="0"/>
        <v>2.37472</v>
      </c>
      <c r="H25" s="370"/>
      <c r="I25" s="363"/>
      <c r="J25" s="377"/>
      <c r="K25" s="371"/>
      <c r="L25" s="372"/>
      <c r="M25" s="373"/>
      <c r="N25" s="374"/>
      <c r="O25" s="294"/>
      <c r="P25" s="375"/>
      <c r="Q25" s="376"/>
    </row>
    <row r="26" spans="1:17" ht="17.1" customHeight="1">
      <c r="A26" s="20"/>
      <c r="B26" s="359">
        <v>20</v>
      </c>
      <c r="C26" s="114" t="s">
        <v>507</v>
      </c>
      <c r="D26" s="573">
        <v>20</v>
      </c>
      <c r="E26" s="571">
        <f t="shared" si="1"/>
        <v>0.02</v>
      </c>
      <c r="F26" s="570">
        <v>1187.36</v>
      </c>
      <c r="G26" s="911">
        <f t="shared" si="0"/>
        <v>23.7472</v>
      </c>
      <c r="H26" s="370"/>
      <c r="I26" s="363"/>
      <c r="J26" s="377"/>
      <c r="K26" s="371"/>
      <c r="L26" s="372"/>
      <c r="M26" s="373"/>
      <c r="N26" s="374"/>
      <c r="O26" s="294"/>
      <c r="P26" s="375"/>
      <c r="Q26" s="376"/>
    </row>
    <row r="27" spans="1:17" ht="17.1" customHeight="1">
      <c r="A27" s="20"/>
      <c r="B27" s="359">
        <v>21</v>
      </c>
      <c r="C27" s="114" t="s">
        <v>80</v>
      </c>
      <c r="D27" s="573">
        <v>2</v>
      </c>
      <c r="E27" s="571">
        <f t="shared" si="1"/>
        <v>0.002</v>
      </c>
      <c r="F27" s="570">
        <v>1187.36</v>
      </c>
      <c r="G27" s="911">
        <f t="shared" si="0"/>
        <v>2.37472</v>
      </c>
      <c r="H27" s="370"/>
      <c r="I27" s="363"/>
      <c r="J27" s="377"/>
      <c r="K27" s="371"/>
      <c r="L27" s="372" t="s">
        <v>588</v>
      </c>
      <c r="M27" s="373"/>
      <c r="N27" s="374"/>
      <c r="O27" s="294"/>
      <c r="P27" s="375"/>
      <c r="Q27" s="376"/>
    </row>
    <row r="28" spans="1:17" ht="17.1" customHeight="1">
      <c r="A28" s="20"/>
      <c r="B28" s="359">
        <v>22</v>
      </c>
      <c r="C28" s="114" t="s">
        <v>318</v>
      </c>
      <c r="D28" s="573">
        <v>20</v>
      </c>
      <c r="E28" s="571">
        <f t="shared" si="1"/>
        <v>0.02</v>
      </c>
      <c r="F28" s="570">
        <v>1187.36</v>
      </c>
      <c r="G28" s="911">
        <f t="shared" si="0"/>
        <v>23.7472</v>
      </c>
      <c r="H28" s="370"/>
      <c r="I28" s="363"/>
      <c r="J28" s="377"/>
      <c r="K28" s="371"/>
      <c r="L28" s="372"/>
      <c r="M28" s="373"/>
      <c r="N28" s="374"/>
      <c r="O28" s="294"/>
      <c r="P28" s="375"/>
      <c r="Q28" s="376"/>
    </row>
    <row r="29" spans="1:17" ht="17.1" customHeight="1">
      <c r="A29" s="20"/>
      <c r="B29" s="359">
        <v>23</v>
      </c>
      <c r="C29" s="378" t="s">
        <v>511</v>
      </c>
      <c r="D29" s="573">
        <v>20</v>
      </c>
      <c r="E29" s="571">
        <f t="shared" si="1"/>
        <v>0.02</v>
      </c>
      <c r="F29" s="570">
        <v>1187.36</v>
      </c>
      <c r="G29" s="911">
        <f t="shared" si="0"/>
        <v>23.7472</v>
      </c>
      <c r="H29" s="370"/>
      <c r="I29" s="363"/>
      <c r="J29" s="377"/>
      <c r="K29" s="371"/>
      <c r="L29" s="372"/>
      <c r="M29" s="373"/>
      <c r="N29" s="374"/>
      <c r="O29" s="294"/>
      <c r="P29" s="375"/>
      <c r="Q29" s="376"/>
    </row>
    <row r="30" spans="1:17" ht="17.1" customHeight="1">
      <c r="A30" s="20"/>
      <c r="B30" s="359">
        <v>24</v>
      </c>
      <c r="C30" s="378" t="s">
        <v>516</v>
      </c>
      <c r="D30" s="573">
        <v>75</v>
      </c>
      <c r="E30" s="571">
        <f t="shared" si="1"/>
        <v>0.075</v>
      </c>
      <c r="F30" s="570">
        <v>1187.36</v>
      </c>
      <c r="G30" s="911">
        <f t="shared" si="0"/>
        <v>89.05199999999999</v>
      </c>
      <c r="H30" s="370"/>
      <c r="I30" s="363"/>
      <c r="J30" s="377"/>
      <c r="K30" s="371"/>
      <c r="L30" s="372"/>
      <c r="M30" s="373"/>
      <c r="N30" s="374"/>
      <c r="O30" s="294"/>
      <c r="P30" s="375"/>
      <c r="Q30" s="376"/>
    </row>
    <row r="31" spans="1:17" ht="17.1" customHeight="1">
      <c r="A31" s="20"/>
      <c r="B31" s="359">
        <v>25</v>
      </c>
      <c r="C31" s="378" t="s">
        <v>385</v>
      </c>
      <c r="D31" s="573">
        <v>1</v>
      </c>
      <c r="E31" s="571">
        <f t="shared" si="1"/>
        <v>0.001</v>
      </c>
      <c r="F31" s="570">
        <v>1187.36</v>
      </c>
      <c r="G31" s="911">
        <f t="shared" si="0"/>
        <v>1.18736</v>
      </c>
      <c r="H31" s="370"/>
      <c r="I31" s="363"/>
      <c r="J31" s="377"/>
      <c r="K31" s="371"/>
      <c r="L31" s="372" t="s">
        <v>386</v>
      </c>
      <c r="M31" s="373"/>
      <c r="N31" s="374"/>
      <c r="O31" s="294"/>
      <c r="P31" s="375"/>
      <c r="Q31" s="376"/>
    </row>
    <row r="32" spans="1:17" ht="17.1" customHeight="1">
      <c r="A32" s="20"/>
      <c r="B32" s="359">
        <v>26</v>
      </c>
      <c r="C32" s="378" t="s">
        <v>121</v>
      </c>
      <c r="D32" s="573">
        <v>10</v>
      </c>
      <c r="E32" s="571">
        <f t="shared" si="1"/>
        <v>0.01</v>
      </c>
      <c r="F32" s="570">
        <v>246.56</v>
      </c>
      <c r="G32" s="911">
        <f t="shared" si="0"/>
        <v>2.4656000000000002</v>
      </c>
      <c r="H32" s="370"/>
      <c r="I32" s="363"/>
      <c r="J32" s="377"/>
      <c r="K32" s="371"/>
      <c r="L32" s="83" t="s">
        <v>650</v>
      </c>
      <c r="M32" s="373"/>
      <c r="N32" s="374"/>
      <c r="O32" s="294"/>
      <c r="P32" s="375"/>
      <c r="Q32" s="376"/>
    </row>
    <row r="33" spans="1:17" ht="17.1" customHeight="1">
      <c r="A33" s="20"/>
      <c r="B33" s="359">
        <v>27</v>
      </c>
      <c r="C33" s="378" t="s">
        <v>61</v>
      </c>
      <c r="D33" s="573">
        <v>5</v>
      </c>
      <c r="E33" s="571">
        <f t="shared" si="1"/>
        <v>0.005</v>
      </c>
      <c r="F33" s="570">
        <v>1187.36</v>
      </c>
      <c r="G33" s="911">
        <f t="shared" si="0"/>
        <v>5.9368</v>
      </c>
      <c r="H33" s="370"/>
      <c r="I33" s="363"/>
      <c r="J33" s="377"/>
      <c r="K33" s="371"/>
      <c r="L33" s="372"/>
      <c r="M33" s="373"/>
      <c r="N33" s="374"/>
      <c r="O33" s="294"/>
      <c r="P33" s="375"/>
      <c r="Q33" s="376"/>
    </row>
    <row r="34" spans="1:17" ht="17.1" customHeight="1">
      <c r="A34" s="20"/>
      <c r="B34" s="359">
        <v>28</v>
      </c>
      <c r="C34" s="378" t="s">
        <v>88</v>
      </c>
      <c r="D34" s="573">
        <v>5</v>
      </c>
      <c r="E34" s="571">
        <f t="shared" si="1"/>
        <v>0.005</v>
      </c>
      <c r="F34" s="570">
        <v>1187.36</v>
      </c>
      <c r="G34" s="911">
        <f t="shared" si="0"/>
        <v>5.9368</v>
      </c>
      <c r="H34" s="370"/>
      <c r="I34" s="363"/>
      <c r="J34" s="377"/>
      <c r="K34" s="371"/>
      <c r="L34" s="372" t="s">
        <v>424</v>
      </c>
      <c r="M34" s="373"/>
      <c r="N34" s="374"/>
      <c r="O34" s="294"/>
      <c r="P34" s="375"/>
      <c r="Q34" s="376"/>
    </row>
    <row r="35" spans="1:17" ht="17.1" customHeight="1">
      <c r="A35" s="20"/>
      <c r="B35" s="359">
        <v>29</v>
      </c>
      <c r="C35" s="378" t="s">
        <v>415</v>
      </c>
      <c r="D35" s="573">
        <v>3</v>
      </c>
      <c r="E35" s="571">
        <f t="shared" si="1"/>
        <v>0.003</v>
      </c>
      <c r="F35" s="570">
        <v>246.56</v>
      </c>
      <c r="G35" s="911">
        <f t="shared" si="0"/>
        <v>0.73968</v>
      </c>
      <c r="H35" s="370"/>
      <c r="I35" s="363"/>
      <c r="J35" s="377"/>
      <c r="K35" s="371"/>
      <c r="L35" s="372"/>
      <c r="M35" s="373"/>
      <c r="N35" s="374"/>
      <c r="O35" s="294"/>
      <c r="P35" s="375"/>
      <c r="Q35" s="376"/>
    </row>
    <row r="36" spans="1:17" ht="17.1" customHeight="1">
      <c r="A36" s="20"/>
      <c r="B36" s="359">
        <v>30</v>
      </c>
      <c r="C36" s="378" t="s">
        <v>325</v>
      </c>
      <c r="D36" s="573">
        <v>10</v>
      </c>
      <c r="E36" s="571">
        <f t="shared" si="1"/>
        <v>0.01</v>
      </c>
      <c r="F36" s="570">
        <v>1187.36</v>
      </c>
      <c r="G36" s="911">
        <f t="shared" si="0"/>
        <v>11.8736</v>
      </c>
      <c r="H36" s="370"/>
      <c r="I36" s="363"/>
      <c r="J36" s="377"/>
      <c r="K36" s="371"/>
      <c r="L36" s="372"/>
      <c r="M36" s="373"/>
      <c r="N36" s="374"/>
      <c r="O36" s="294"/>
      <c r="P36" s="375"/>
      <c r="Q36" s="376"/>
    </row>
    <row r="37" spans="1:17" ht="17.1" customHeight="1">
      <c r="A37" s="20"/>
      <c r="B37" s="359">
        <v>31</v>
      </c>
      <c r="C37" s="378" t="s">
        <v>325</v>
      </c>
      <c r="D37" s="573">
        <v>20</v>
      </c>
      <c r="E37" s="571">
        <f t="shared" si="1"/>
        <v>0.02</v>
      </c>
      <c r="F37" s="570">
        <v>246.56</v>
      </c>
      <c r="G37" s="911">
        <f t="shared" si="0"/>
        <v>4.9312000000000005</v>
      </c>
      <c r="H37" s="370"/>
      <c r="I37" s="363"/>
      <c r="J37" s="377"/>
      <c r="K37" s="371"/>
      <c r="L37" s="83" t="s">
        <v>653</v>
      </c>
      <c r="M37" s="373"/>
      <c r="N37" s="374"/>
      <c r="O37" s="294"/>
      <c r="P37" s="375"/>
      <c r="Q37" s="376"/>
    </row>
    <row r="38" spans="1:17" ht="17.1" customHeight="1">
      <c r="A38" s="20"/>
      <c r="B38" s="359">
        <v>32</v>
      </c>
      <c r="C38" s="378" t="s">
        <v>63</v>
      </c>
      <c r="D38" s="573">
        <v>5</v>
      </c>
      <c r="E38" s="571">
        <f t="shared" si="1"/>
        <v>0.005</v>
      </c>
      <c r="F38" s="570">
        <v>1187.36</v>
      </c>
      <c r="G38" s="911">
        <f t="shared" si="0"/>
        <v>5.9368</v>
      </c>
      <c r="H38" s="370"/>
      <c r="I38" s="363"/>
      <c r="J38" s="377"/>
      <c r="K38" s="371"/>
      <c r="L38" s="372" t="s">
        <v>596</v>
      </c>
      <c r="M38" s="373"/>
      <c r="N38" s="374"/>
      <c r="O38" s="294"/>
      <c r="P38" s="375"/>
      <c r="Q38" s="376"/>
    </row>
    <row r="39" spans="1:17" ht="17.1" customHeight="1">
      <c r="A39" s="20"/>
      <c r="B39" s="359">
        <v>33</v>
      </c>
      <c r="C39" s="378" t="s">
        <v>212</v>
      </c>
      <c r="D39" s="573">
        <v>4.5</v>
      </c>
      <c r="E39" s="571">
        <f t="shared" si="1"/>
        <v>0.0045</v>
      </c>
      <c r="F39" s="570">
        <v>1187.36</v>
      </c>
      <c r="G39" s="911">
        <f t="shared" si="0"/>
        <v>5.343119999999999</v>
      </c>
      <c r="H39" s="370"/>
      <c r="I39" s="363"/>
      <c r="J39" s="379"/>
      <c r="K39" s="371"/>
      <c r="L39" s="372" t="s">
        <v>591</v>
      </c>
      <c r="M39" s="373"/>
      <c r="N39" s="374"/>
      <c r="O39" s="294"/>
      <c r="P39" s="375"/>
      <c r="Q39" s="376"/>
    </row>
    <row r="40" spans="1:17" ht="17.1" customHeight="1">
      <c r="A40" s="20"/>
      <c r="B40" s="359">
        <v>34</v>
      </c>
      <c r="C40" s="378" t="s">
        <v>284</v>
      </c>
      <c r="D40" s="573">
        <f>4.5+3</f>
        <v>7.5</v>
      </c>
      <c r="E40" s="571">
        <f t="shared" si="1"/>
        <v>0.0075</v>
      </c>
      <c r="F40" s="570">
        <v>1187.36</v>
      </c>
      <c r="G40" s="911">
        <f t="shared" si="0"/>
        <v>8.905199999999999</v>
      </c>
      <c r="H40" s="370"/>
      <c r="I40" s="363"/>
      <c r="J40" s="361"/>
      <c r="K40" s="371"/>
      <c r="L40" s="372" t="s">
        <v>594</v>
      </c>
      <c r="M40" s="373"/>
      <c r="N40" s="374"/>
      <c r="O40" s="294"/>
      <c r="P40" s="375"/>
      <c r="Q40" s="376"/>
    </row>
    <row r="41" spans="1:17" ht="17.1" customHeight="1">
      <c r="A41" s="20"/>
      <c r="B41" s="359">
        <v>35</v>
      </c>
      <c r="C41" s="89" t="s">
        <v>138</v>
      </c>
      <c r="D41" s="803">
        <v>126</v>
      </c>
      <c r="E41" s="571">
        <v>0.0126</v>
      </c>
      <c r="F41" s="570">
        <v>246.56</v>
      </c>
      <c r="G41" s="911">
        <f t="shared" si="0"/>
        <v>3.106656</v>
      </c>
      <c r="H41" s="370"/>
      <c r="I41" s="363"/>
      <c r="J41" s="361"/>
      <c r="K41" s="371"/>
      <c r="L41" s="83" t="s">
        <v>556</v>
      </c>
      <c r="M41" s="373"/>
      <c r="N41" s="374"/>
      <c r="O41" s="294"/>
      <c r="P41" s="375"/>
      <c r="Q41" s="376"/>
    </row>
    <row r="42" spans="1:17" ht="17.1" customHeight="1">
      <c r="A42" s="20"/>
      <c r="B42" s="359">
        <v>36</v>
      </c>
      <c r="C42" s="89" t="s">
        <v>265</v>
      </c>
      <c r="D42" s="803">
        <v>142</v>
      </c>
      <c r="E42" s="571">
        <v>0.0142</v>
      </c>
      <c r="F42" s="570">
        <v>246.56</v>
      </c>
      <c r="G42" s="911">
        <f t="shared" si="0"/>
        <v>3.5011520000000003</v>
      </c>
      <c r="H42" s="370"/>
      <c r="I42" s="363"/>
      <c r="J42" s="361"/>
      <c r="K42" s="371"/>
      <c r="L42" s="83" t="s">
        <v>557</v>
      </c>
      <c r="M42" s="373"/>
      <c r="N42" s="374"/>
      <c r="O42" s="294"/>
      <c r="P42" s="375"/>
      <c r="Q42" s="376"/>
    </row>
    <row r="43" spans="1:17" ht="17.1" customHeight="1">
      <c r="A43" s="20"/>
      <c r="B43" s="359">
        <v>37</v>
      </c>
      <c r="C43" s="378" t="s">
        <v>139</v>
      </c>
      <c r="D43" s="573">
        <v>1.2</v>
      </c>
      <c r="E43" s="571">
        <f>D43/1000</f>
        <v>0.0012</v>
      </c>
      <c r="F43" s="570">
        <v>1187.36</v>
      </c>
      <c r="G43" s="911">
        <f t="shared" si="0"/>
        <v>1.4248319999999997</v>
      </c>
      <c r="H43" s="370"/>
      <c r="I43" s="363"/>
      <c r="J43" s="361"/>
      <c r="K43" s="371"/>
      <c r="L43" s="372" t="s">
        <v>559</v>
      </c>
      <c r="M43" s="373"/>
      <c r="N43" s="374"/>
      <c r="O43" s="294"/>
      <c r="P43" s="375"/>
      <c r="Q43" s="376"/>
    </row>
    <row r="44" spans="1:17" ht="17.1" customHeight="1">
      <c r="A44" s="20"/>
      <c r="B44" s="359">
        <v>38</v>
      </c>
      <c r="C44" s="378" t="s">
        <v>654</v>
      </c>
      <c r="D44" s="573">
        <v>129</v>
      </c>
      <c r="E44" s="571">
        <v>0.0129</v>
      </c>
      <c r="F44" s="570">
        <v>246.56</v>
      </c>
      <c r="G44" s="911">
        <f t="shared" si="0"/>
        <v>3.180624</v>
      </c>
      <c r="H44" s="370"/>
      <c r="I44" s="363"/>
      <c r="J44" s="361"/>
      <c r="K44" s="371"/>
      <c r="L44" s="83" t="s">
        <v>558</v>
      </c>
      <c r="M44" s="373"/>
      <c r="N44" s="374"/>
      <c r="O44" s="294"/>
      <c r="P44" s="375"/>
      <c r="Q44" s="376"/>
    </row>
    <row r="45" spans="1:17" ht="17.1" customHeight="1">
      <c r="A45" s="20"/>
      <c r="B45" s="916">
        <v>39</v>
      </c>
      <c r="C45" s="114" t="s">
        <v>162</v>
      </c>
      <c r="D45" s="574">
        <v>5</v>
      </c>
      <c r="E45" s="575">
        <f aca="true" t="shared" si="2" ref="E45:E65">D45/1000</f>
        <v>0.005</v>
      </c>
      <c r="F45" s="572">
        <v>1187.36</v>
      </c>
      <c r="G45" s="917">
        <f t="shared" si="0"/>
        <v>5.9368</v>
      </c>
      <c r="H45" s="370"/>
      <c r="I45" s="363"/>
      <c r="J45" s="380"/>
      <c r="K45" s="371"/>
      <c r="L45" s="372"/>
      <c r="M45" s="373"/>
      <c r="N45" s="374"/>
      <c r="O45" s="294"/>
      <c r="P45" s="375"/>
      <c r="Q45" s="376"/>
    </row>
    <row r="46" spans="1:17" ht="17.1" customHeight="1">
      <c r="A46" s="20"/>
      <c r="B46" s="916">
        <v>40</v>
      </c>
      <c r="C46" s="114" t="s">
        <v>107</v>
      </c>
      <c r="D46" s="574">
        <v>10</v>
      </c>
      <c r="E46" s="575">
        <f t="shared" si="2"/>
        <v>0.01</v>
      </c>
      <c r="F46" s="572">
        <v>1187.36</v>
      </c>
      <c r="G46" s="917">
        <f t="shared" si="0"/>
        <v>11.8736</v>
      </c>
      <c r="H46" s="370"/>
      <c r="I46" s="363"/>
      <c r="J46" s="380"/>
      <c r="K46" s="371"/>
      <c r="L46" s="372"/>
      <c r="M46" s="373"/>
      <c r="N46" s="374"/>
      <c r="O46" s="294"/>
      <c r="P46" s="375"/>
      <c r="Q46" s="376"/>
    </row>
    <row r="47" spans="1:17" ht="17.1" customHeight="1">
      <c r="A47" s="20"/>
      <c r="B47" s="359">
        <v>41</v>
      </c>
      <c r="C47" s="378" t="s">
        <v>268</v>
      </c>
      <c r="D47" s="574">
        <v>25</v>
      </c>
      <c r="E47" s="571">
        <f t="shared" si="2"/>
        <v>0.025</v>
      </c>
      <c r="F47" s="570">
        <v>1187.36</v>
      </c>
      <c r="G47" s="911">
        <f t="shared" si="0"/>
        <v>29.683999999999997</v>
      </c>
      <c r="H47" s="370"/>
      <c r="I47" s="363"/>
      <c r="J47" s="381"/>
      <c r="K47" s="371"/>
      <c r="L47" s="372"/>
      <c r="M47" s="373"/>
      <c r="N47" s="374"/>
      <c r="O47" s="294"/>
      <c r="P47" s="375"/>
      <c r="Q47" s="376"/>
    </row>
    <row r="48" spans="1:17" ht="17.1" customHeight="1">
      <c r="A48" s="20"/>
      <c r="B48" s="359">
        <v>42</v>
      </c>
      <c r="C48" s="378" t="s">
        <v>166</v>
      </c>
      <c r="D48" s="574">
        <v>7</v>
      </c>
      <c r="E48" s="571">
        <f t="shared" si="2"/>
        <v>0.007</v>
      </c>
      <c r="F48" s="570">
        <v>1187.36</v>
      </c>
      <c r="G48" s="911">
        <f t="shared" si="0"/>
        <v>8.31152</v>
      </c>
      <c r="H48" s="370"/>
      <c r="I48" s="363"/>
      <c r="J48" s="381"/>
      <c r="K48" s="371"/>
      <c r="L48" s="372" t="s">
        <v>384</v>
      </c>
      <c r="M48" s="373"/>
      <c r="N48" s="374"/>
      <c r="O48" s="294"/>
      <c r="P48" s="375"/>
      <c r="Q48" s="376"/>
    </row>
    <row r="49" spans="1:17" ht="17.1" customHeight="1">
      <c r="A49" s="20"/>
      <c r="B49" s="359">
        <v>43</v>
      </c>
      <c r="C49" s="114" t="s">
        <v>166</v>
      </c>
      <c r="D49" s="574">
        <v>25</v>
      </c>
      <c r="E49" s="571">
        <f t="shared" si="2"/>
        <v>0.025</v>
      </c>
      <c r="F49" s="570">
        <v>1187.36</v>
      </c>
      <c r="G49" s="911">
        <f t="shared" si="0"/>
        <v>29.683999999999997</v>
      </c>
      <c r="H49" s="370"/>
      <c r="I49" s="363"/>
      <c r="J49" s="381"/>
      <c r="K49" s="371"/>
      <c r="L49" s="372"/>
      <c r="M49" s="373"/>
      <c r="N49" s="374"/>
      <c r="O49" s="294"/>
      <c r="P49" s="375"/>
      <c r="Q49" s="376"/>
    </row>
    <row r="50" spans="1:17" ht="17.1" customHeight="1">
      <c r="A50" s="20"/>
      <c r="B50" s="359">
        <v>44</v>
      </c>
      <c r="C50" s="378" t="s">
        <v>32</v>
      </c>
      <c r="D50" s="573">
        <v>60</v>
      </c>
      <c r="E50" s="571">
        <f t="shared" si="2"/>
        <v>0.06</v>
      </c>
      <c r="F50" s="570">
        <v>1187.36</v>
      </c>
      <c r="G50" s="911">
        <f t="shared" si="0"/>
        <v>71.24159999999999</v>
      </c>
      <c r="H50" s="370"/>
      <c r="I50" s="363"/>
      <c r="J50" s="377"/>
      <c r="K50" s="371"/>
      <c r="L50" s="372"/>
      <c r="M50" s="373"/>
      <c r="N50" s="374"/>
      <c r="O50" s="294"/>
      <c r="P50" s="375"/>
      <c r="Q50" s="376"/>
    </row>
    <row r="51" spans="1:17" ht="17.1" customHeight="1">
      <c r="A51" s="20"/>
      <c r="B51" s="359">
        <v>45</v>
      </c>
      <c r="C51" s="378" t="s">
        <v>561</v>
      </c>
      <c r="D51" s="573">
        <v>41</v>
      </c>
      <c r="E51" s="571">
        <f t="shared" si="2"/>
        <v>0.041</v>
      </c>
      <c r="F51" s="570">
        <v>246.56</v>
      </c>
      <c r="G51" s="911">
        <f t="shared" si="0"/>
        <v>10.10896</v>
      </c>
      <c r="H51" s="370"/>
      <c r="I51" s="363"/>
      <c r="J51" s="377"/>
      <c r="K51" s="371"/>
      <c r="L51" s="83" t="s">
        <v>650</v>
      </c>
      <c r="M51" s="373"/>
      <c r="N51" s="374"/>
      <c r="O51" s="294"/>
      <c r="P51" s="375"/>
      <c r="Q51" s="376"/>
    </row>
    <row r="52" spans="1:17" ht="17.1" customHeight="1">
      <c r="A52" s="20"/>
      <c r="B52" s="359">
        <v>46</v>
      </c>
      <c r="C52" s="378" t="s">
        <v>269</v>
      </c>
      <c r="D52" s="573">
        <v>4</v>
      </c>
      <c r="E52" s="571">
        <f t="shared" si="2"/>
        <v>0.004</v>
      </c>
      <c r="F52" s="570">
        <v>1187.36</v>
      </c>
      <c r="G52" s="911">
        <f t="shared" si="0"/>
        <v>4.74944</v>
      </c>
      <c r="H52" s="370"/>
      <c r="I52" s="363"/>
      <c r="J52" s="361"/>
      <c r="K52" s="371"/>
      <c r="L52" s="372" t="s">
        <v>424</v>
      </c>
      <c r="M52" s="373"/>
      <c r="N52" s="374"/>
      <c r="O52" s="294"/>
      <c r="P52" s="375"/>
      <c r="Q52" s="376"/>
    </row>
    <row r="53" spans="1:17" ht="17.1" customHeight="1">
      <c r="A53" s="20"/>
      <c r="B53" s="359">
        <v>47</v>
      </c>
      <c r="C53" s="378" t="s">
        <v>567</v>
      </c>
      <c r="D53" s="573">
        <v>3</v>
      </c>
      <c r="E53" s="571">
        <f t="shared" si="2"/>
        <v>0.003</v>
      </c>
      <c r="F53" s="570">
        <v>1187.36</v>
      </c>
      <c r="G53" s="911">
        <f t="shared" si="0"/>
        <v>3.56208</v>
      </c>
      <c r="H53" s="370"/>
      <c r="I53" s="363"/>
      <c r="J53" s="361"/>
      <c r="K53" s="371"/>
      <c r="L53" s="372" t="s">
        <v>568</v>
      </c>
      <c r="M53" s="373"/>
      <c r="N53" s="374"/>
      <c r="O53" s="294"/>
      <c r="P53" s="375"/>
      <c r="Q53" s="376"/>
    </row>
    <row r="54" spans="1:17" ht="17.1" customHeight="1">
      <c r="A54" s="20"/>
      <c r="B54" s="359">
        <v>48</v>
      </c>
      <c r="C54" s="378" t="s">
        <v>109</v>
      </c>
      <c r="D54" s="573">
        <v>145</v>
      </c>
      <c r="E54" s="571">
        <f t="shared" si="2"/>
        <v>0.145</v>
      </c>
      <c r="F54" s="570">
        <v>1187.36</v>
      </c>
      <c r="G54" s="911">
        <f t="shared" si="0"/>
        <v>172.16719999999998</v>
      </c>
      <c r="H54" s="370"/>
      <c r="I54" s="363"/>
      <c r="J54" s="361"/>
      <c r="K54" s="371"/>
      <c r="L54" s="372"/>
      <c r="M54" s="373"/>
      <c r="N54" s="374"/>
      <c r="O54" s="294"/>
      <c r="P54" s="375"/>
      <c r="Q54" s="376"/>
    </row>
    <row r="55" spans="1:17" ht="17.1" customHeight="1">
      <c r="A55" s="20"/>
      <c r="B55" s="359">
        <v>49</v>
      </c>
      <c r="C55" s="378" t="s">
        <v>169</v>
      </c>
      <c r="D55" s="573">
        <v>145</v>
      </c>
      <c r="E55" s="571">
        <f t="shared" si="2"/>
        <v>0.145</v>
      </c>
      <c r="F55" s="570">
        <v>1187.36</v>
      </c>
      <c r="G55" s="911">
        <f t="shared" si="0"/>
        <v>172.16719999999998</v>
      </c>
      <c r="H55" s="370"/>
      <c r="I55" s="363"/>
      <c r="J55" s="361"/>
      <c r="K55" s="371"/>
      <c r="L55" s="372"/>
      <c r="M55" s="373"/>
      <c r="N55" s="374"/>
      <c r="O55" s="294"/>
      <c r="P55" s="375"/>
      <c r="Q55" s="376"/>
    </row>
    <row r="56" spans="1:17" ht="17.1" customHeight="1">
      <c r="A56" s="20"/>
      <c r="B56" s="359">
        <v>50</v>
      </c>
      <c r="C56" s="378" t="s">
        <v>34</v>
      </c>
      <c r="D56" s="573">
        <v>118</v>
      </c>
      <c r="E56" s="571">
        <f t="shared" si="2"/>
        <v>0.118</v>
      </c>
      <c r="F56" s="570">
        <v>1187.36</v>
      </c>
      <c r="G56" s="911">
        <f t="shared" si="0"/>
        <v>140.10848</v>
      </c>
      <c r="H56" s="370"/>
      <c r="I56" s="363"/>
      <c r="J56" s="361"/>
      <c r="K56" s="371"/>
      <c r="L56" s="372"/>
      <c r="M56" s="373"/>
      <c r="N56" s="374"/>
      <c r="O56" s="294"/>
      <c r="P56" s="375"/>
      <c r="Q56" s="376"/>
    </row>
    <row r="57" spans="1:17" ht="17.1" customHeight="1">
      <c r="A57" s="20"/>
      <c r="B57" s="359">
        <v>51</v>
      </c>
      <c r="C57" s="378" t="s">
        <v>570</v>
      </c>
      <c r="D57" s="573">
        <v>4</v>
      </c>
      <c r="E57" s="571">
        <f t="shared" si="2"/>
        <v>0.004</v>
      </c>
      <c r="F57" s="570">
        <v>1187.36</v>
      </c>
      <c r="G57" s="911">
        <f t="shared" si="0"/>
        <v>4.74944</v>
      </c>
      <c r="H57" s="361"/>
      <c r="I57" s="363"/>
      <c r="J57" s="377"/>
      <c r="K57" s="371"/>
      <c r="L57" s="372" t="s">
        <v>571</v>
      </c>
      <c r="M57" s="373"/>
      <c r="N57" s="374"/>
      <c r="O57" s="294"/>
      <c r="P57" s="375"/>
      <c r="Q57" s="376"/>
    </row>
    <row r="58" spans="1:17" ht="17.1" customHeight="1">
      <c r="A58" s="20"/>
      <c r="B58" s="359">
        <v>52</v>
      </c>
      <c r="C58" s="114" t="s">
        <v>172</v>
      </c>
      <c r="D58" s="574">
        <v>1.5</v>
      </c>
      <c r="E58" s="575">
        <f t="shared" si="2"/>
        <v>0.0015</v>
      </c>
      <c r="F58" s="570">
        <v>1187.36</v>
      </c>
      <c r="G58" s="911">
        <f t="shared" si="0"/>
        <v>1.78104</v>
      </c>
      <c r="H58" s="370"/>
      <c r="I58" s="363"/>
      <c r="J58" s="381"/>
      <c r="K58" s="371"/>
      <c r="L58" s="372" t="s">
        <v>467</v>
      </c>
      <c r="M58" s="373"/>
      <c r="N58" s="374"/>
      <c r="O58" s="294"/>
      <c r="P58" s="375"/>
      <c r="Q58" s="376"/>
    </row>
    <row r="59" spans="1:17" ht="17.1" customHeight="1">
      <c r="A59" s="20"/>
      <c r="B59" s="359">
        <v>53</v>
      </c>
      <c r="C59" s="114" t="s">
        <v>92</v>
      </c>
      <c r="D59" s="574">
        <v>154</v>
      </c>
      <c r="E59" s="575">
        <f t="shared" si="2"/>
        <v>0.154</v>
      </c>
      <c r="F59" s="570">
        <v>1187.36</v>
      </c>
      <c r="G59" s="911">
        <f t="shared" si="0"/>
        <v>182.85343999999998</v>
      </c>
      <c r="H59" s="370"/>
      <c r="I59" s="363"/>
      <c r="J59" s="381"/>
      <c r="K59" s="371"/>
      <c r="L59" s="372"/>
      <c r="M59" s="373"/>
      <c r="N59" s="374"/>
      <c r="O59" s="294"/>
      <c r="P59" s="375"/>
      <c r="Q59" s="376"/>
    </row>
    <row r="60" spans="1:17" ht="17.1" customHeight="1">
      <c r="A60" s="20"/>
      <c r="B60" s="359">
        <v>54</v>
      </c>
      <c r="C60" s="114" t="s">
        <v>282</v>
      </c>
      <c r="D60" s="574">
        <v>25</v>
      </c>
      <c r="E60" s="575">
        <f t="shared" si="2"/>
        <v>0.025</v>
      </c>
      <c r="F60" s="570">
        <v>1187.36</v>
      </c>
      <c r="G60" s="911">
        <f t="shared" si="0"/>
        <v>29.683999999999997</v>
      </c>
      <c r="H60" s="370"/>
      <c r="I60" s="363"/>
      <c r="J60" s="381"/>
      <c r="K60" s="371"/>
      <c r="L60" s="372"/>
      <c r="M60" s="373"/>
      <c r="N60" s="374"/>
      <c r="O60" s="294"/>
      <c r="P60" s="375"/>
      <c r="Q60" s="376"/>
    </row>
    <row r="61" spans="1:17" ht="17.1" customHeight="1">
      <c r="A61" s="20"/>
      <c r="B61" s="359">
        <v>55</v>
      </c>
      <c r="C61" s="378" t="s">
        <v>461</v>
      </c>
      <c r="D61" s="574">
        <v>40</v>
      </c>
      <c r="E61" s="575">
        <f t="shared" si="2"/>
        <v>0.04</v>
      </c>
      <c r="F61" s="570">
        <v>1187.36</v>
      </c>
      <c r="G61" s="911">
        <f t="shared" si="0"/>
        <v>47.4944</v>
      </c>
      <c r="H61" s="370"/>
      <c r="I61" s="363"/>
      <c r="J61" s="381"/>
      <c r="K61" s="371"/>
      <c r="L61" s="372"/>
      <c r="M61" s="373"/>
      <c r="N61" s="374"/>
      <c r="O61" s="294"/>
      <c r="P61" s="375"/>
      <c r="Q61" s="376"/>
    </row>
    <row r="62" spans="1:17" ht="17.1" customHeight="1">
      <c r="A62" s="20"/>
      <c r="B62" s="359">
        <v>56</v>
      </c>
      <c r="C62" s="378" t="s">
        <v>35</v>
      </c>
      <c r="D62" s="573">
        <v>2</v>
      </c>
      <c r="E62" s="571">
        <f t="shared" si="2"/>
        <v>0.002</v>
      </c>
      <c r="F62" s="570">
        <v>1187.36</v>
      </c>
      <c r="G62" s="911">
        <f t="shared" si="0"/>
        <v>2.37472</v>
      </c>
      <c r="H62" s="370"/>
      <c r="I62" s="363"/>
      <c r="J62" s="377"/>
      <c r="K62" s="371"/>
      <c r="L62" s="372" t="s">
        <v>362</v>
      </c>
      <c r="M62" s="373"/>
      <c r="N62" s="374"/>
      <c r="O62" s="294"/>
      <c r="P62" s="375"/>
      <c r="Q62" s="376"/>
    </row>
    <row r="63" spans="1:17" ht="17.1" customHeight="1">
      <c r="A63" s="20"/>
      <c r="B63" s="359">
        <v>57</v>
      </c>
      <c r="C63" s="89" t="s">
        <v>326</v>
      </c>
      <c r="D63" s="803">
        <v>82</v>
      </c>
      <c r="E63" s="571">
        <f t="shared" si="2"/>
        <v>0.082</v>
      </c>
      <c r="F63" s="570">
        <f>246.56</f>
        <v>246.56</v>
      </c>
      <c r="G63" s="911">
        <f t="shared" si="0"/>
        <v>20.21792</v>
      </c>
      <c r="H63" s="370"/>
      <c r="I63" s="363"/>
      <c r="J63" s="377"/>
      <c r="K63" s="371"/>
      <c r="L63" s="83" t="s">
        <v>650</v>
      </c>
      <c r="M63" s="373"/>
      <c r="N63" s="374"/>
      <c r="O63" s="294"/>
      <c r="P63" s="375"/>
      <c r="Q63" s="376"/>
    </row>
    <row r="64" spans="1:17" ht="17.1" customHeight="1" thickBot="1">
      <c r="A64" s="20"/>
      <c r="B64" s="359">
        <v>58</v>
      </c>
      <c r="C64" s="89" t="s">
        <v>393</v>
      </c>
      <c r="D64" s="803">
        <v>15</v>
      </c>
      <c r="E64" s="571">
        <f t="shared" si="2"/>
        <v>0.015</v>
      </c>
      <c r="F64" s="570">
        <v>246.56</v>
      </c>
      <c r="G64" s="911">
        <f t="shared" si="0"/>
        <v>3.6984</v>
      </c>
      <c r="H64" s="370"/>
      <c r="I64" s="363"/>
      <c r="J64" s="377"/>
      <c r="K64" s="371"/>
      <c r="L64" s="83" t="s">
        <v>650</v>
      </c>
      <c r="M64" s="373"/>
      <c r="N64" s="374"/>
      <c r="O64" s="294"/>
      <c r="P64" s="375"/>
      <c r="Q64" s="376"/>
    </row>
    <row r="65" spans="2:17" ht="16.5" thickBot="1">
      <c r="B65" s="306"/>
      <c r="C65" s="382" t="s">
        <v>110</v>
      </c>
      <c r="D65" s="576">
        <f>SUM(D7:D64)</f>
        <v>2744.7</v>
      </c>
      <c r="E65" s="577">
        <f t="shared" si="2"/>
        <v>2.7447</v>
      </c>
      <c r="F65" s="578"/>
      <c r="G65" s="912">
        <f>SUM(G7:G64)</f>
        <v>1247.045424</v>
      </c>
      <c r="H65" s="383">
        <f>SUM(H7:H64)</f>
        <v>0</v>
      </c>
      <c r="I65" s="383">
        <f>SUM(I7:I64)</f>
        <v>0</v>
      </c>
      <c r="J65" s="384">
        <f>SUM(J7:J64)</f>
        <v>0</v>
      </c>
      <c r="K65" s="385">
        <f>J65*1620</f>
        <v>0</v>
      </c>
      <c r="L65" s="386"/>
      <c r="M65" s="387">
        <f>SUM(M7:M64)</f>
        <v>0</v>
      </c>
      <c r="N65" s="387">
        <f>SUM(N7:N64)</f>
        <v>0</v>
      </c>
      <c r="O65" s="387">
        <f>SUM(O7:O64)</f>
        <v>0</v>
      </c>
      <c r="P65" s="387">
        <f>SUM(P7:P64)</f>
        <v>0</v>
      </c>
      <c r="Q65" s="360"/>
    </row>
    <row r="66" spans="2:17" ht="15.75">
      <c r="B66" s="349"/>
      <c r="C66" s="388"/>
      <c r="D66" s="913"/>
      <c r="E66" s="914"/>
      <c r="F66" s="914"/>
      <c r="G66" s="915"/>
      <c r="H66" s="392"/>
      <c r="I66" s="392"/>
      <c r="J66" s="392"/>
      <c r="K66" s="390"/>
      <c r="L66" s="393"/>
      <c r="M66" s="394"/>
      <c r="N66" s="394"/>
      <c r="O66" s="394"/>
      <c r="P66" s="394"/>
      <c r="Q66" s="395"/>
    </row>
    <row r="67" spans="2:17" ht="15.75">
      <c r="B67" s="349"/>
      <c r="C67" s="388"/>
      <c r="D67" s="913"/>
      <c r="E67" s="914"/>
      <c r="F67" s="914"/>
      <c r="G67" s="915"/>
      <c r="H67" s="392"/>
      <c r="I67" s="392"/>
      <c r="J67" s="392"/>
      <c r="K67" s="390"/>
      <c r="L67" s="393"/>
      <c r="M67" s="394"/>
      <c r="N67" s="394"/>
      <c r="O67" s="394"/>
      <c r="P67" s="394"/>
      <c r="Q67" s="395"/>
    </row>
    <row r="68" spans="2:17" ht="15.75">
      <c r="B68" s="349"/>
      <c r="C68" s="388"/>
      <c r="D68" s="389"/>
      <c r="E68" s="390"/>
      <c r="F68" s="390"/>
      <c r="G68" s="391"/>
      <c r="H68" s="392"/>
      <c r="I68" s="392"/>
      <c r="J68" s="392"/>
      <c r="K68" s="390"/>
      <c r="L68" s="393"/>
      <c r="M68" s="394"/>
      <c r="N68" s="394"/>
      <c r="O68" s="394"/>
      <c r="P68" s="394"/>
      <c r="Q68" s="395"/>
    </row>
    <row r="69" spans="2:14" ht="15.75">
      <c r="B69" s="29"/>
      <c r="C69" s="29" t="s">
        <v>37</v>
      </c>
      <c r="D69" s="29"/>
      <c r="E69" s="159" t="s">
        <v>143</v>
      </c>
      <c r="F69" s="159"/>
      <c r="G69" s="159"/>
      <c r="H69" s="29"/>
      <c r="I69" s="30" t="s">
        <v>96</v>
      </c>
      <c r="J69" s="29"/>
      <c r="K69" s="29"/>
      <c r="L69" s="29"/>
      <c r="M69" s="29"/>
      <c r="N69" s="29"/>
    </row>
  </sheetData>
  <mergeCells count="10">
    <mergeCell ref="M5:Q5"/>
    <mergeCell ref="I2:L2"/>
    <mergeCell ref="B5:B6"/>
    <mergeCell ref="C5:C6"/>
    <mergeCell ref="D5:D6"/>
    <mergeCell ref="E5:G5"/>
    <mergeCell ref="H5:I5"/>
    <mergeCell ref="L5:L6"/>
    <mergeCell ref="B3:L3"/>
    <mergeCell ref="B4:L4"/>
  </mergeCells>
  <printOptions horizontalCentered="1"/>
  <pageMargins left="0.25" right="0.25" top="0.75" bottom="0.75" header="0.3" footer="0.3"/>
  <pageSetup fitToHeight="3" fitToWidth="1"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0"/>
  <sheetViews>
    <sheetView workbookViewId="0" topLeftCell="A7">
      <selection activeCell="L30" sqref="L30"/>
    </sheetView>
  </sheetViews>
  <sheetFormatPr defaultColWidth="9.00390625" defaultRowHeight="12.75"/>
  <cols>
    <col min="1" max="1" width="4.375" style="0" customWidth="1"/>
    <col min="2" max="2" width="5.00390625" style="0" customWidth="1"/>
    <col min="3" max="3" width="26.00390625" style="0" customWidth="1"/>
    <col min="4" max="4" width="11.625" style="0" bestFit="1" customWidth="1"/>
    <col min="5" max="5" width="10.375" style="0" customWidth="1"/>
    <col min="6" max="6" width="12.125" style="0" hidden="1" customWidth="1"/>
    <col min="7" max="7" width="10.375" style="0" customWidth="1"/>
    <col min="8" max="11" width="8.875" style="0" hidden="1" customWidth="1"/>
    <col min="12" max="12" width="25.125" style="0" customWidth="1"/>
    <col min="13" max="17" width="9.00390625" style="0" hidden="1" customWidth="1"/>
  </cols>
  <sheetData>
    <row r="2" spans="2:14" ht="72" customHeight="1">
      <c r="B2" s="29"/>
      <c r="C2" s="118"/>
      <c r="D2" s="29"/>
      <c r="E2" s="348"/>
      <c r="F2" s="348"/>
      <c r="G2" s="2028" t="s">
        <v>227</v>
      </c>
      <c r="H2" s="2028"/>
      <c r="I2" s="2028"/>
      <c r="J2" s="2028"/>
      <c r="K2" s="2028"/>
      <c r="L2" s="2028"/>
      <c r="M2" s="29"/>
      <c r="N2" s="29"/>
    </row>
    <row r="3" spans="2:14" ht="13.5" customHeight="1">
      <c r="B3" s="29"/>
      <c r="C3" s="118"/>
      <c r="D3" s="29"/>
      <c r="E3" s="348"/>
      <c r="F3" s="348"/>
      <c r="G3" s="837"/>
      <c r="H3" s="837"/>
      <c r="I3" s="837"/>
      <c r="J3" s="837"/>
      <c r="K3" s="837"/>
      <c r="L3" s="837"/>
      <c r="M3" s="29"/>
      <c r="N3" s="29"/>
    </row>
    <row r="4" spans="2:14" ht="13.5" customHeight="1">
      <c r="B4" s="29"/>
      <c r="C4" s="118"/>
      <c r="D4" s="29"/>
      <c r="E4" s="348"/>
      <c r="F4" s="348"/>
      <c r="G4" s="837"/>
      <c r="H4" s="837"/>
      <c r="I4" s="837"/>
      <c r="J4" s="837"/>
      <c r="K4" s="837"/>
      <c r="L4" s="837"/>
      <c r="M4" s="29"/>
      <c r="N4" s="29"/>
    </row>
    <row r="5" spans="2:14" ht="21.75" customHeight="1">
      <c r="B5" s="2029" t="s">
        <v>606</v>
      </c>
      <c r="C5" s="2029"/>
      <c r="D5" s="2029"/>
      <c r="E5" s="2029"/>
      <c r="F5" s="2029"/>
      <c r="G5" s="2029"/>
      <c r="H5" s="2029"/>
      <c r="I5" s="2029"/>
      <c r="J5" s="2029"/>
      <c r="K5" s="2029"/>
      <c r="L5" s="2029"/>
      <c r="M5" s="29"/>
      <c r="N5" s="29"/>
    </row>
    <row r="6" spans="2:14" ht="17.25" customHeight="1">
      <c r="B6" s="2060" t="s">
        <v>607</v>
      </c>
      <c r="C6" s="2060"/>
      <c r="D6" s="2060"/>
      <c r="E6" s="2060"/>
      <c r="F6" s="2060"/>
      <c r="G6" s="2060"/>
      <c r="H6" s="2060"/>
      <c r="I6" s="2060"/>
      <c r="J6" s="2060"/>
      <c r="K6" s="2060"/>
      <c r="L6" s="2060"/>
      <c r="M6" s="29"/>
      <c r="N6" s="29"/>
    </row>
    <row r="7" spans="2:14" ht="21" customHeight="1">
      <c r="B7" s="2029" t="s">
        <v>298</v>
      </c>
      <c r="C7" s="2029"/>
      <c r="D7" s="2029"/>
      <c r="E7" s="2029"/>
      <c r="F7" s="2029"/>
      <c r="G7" s="2029"/>
      <c r="H7" s="2029"/>
      <c r="I7" s="2029"/>
      <c r="J7" s="2029"/>
      <c r="K7" s="2029"/>
      <c r="L7" s="2029"/>
      <c r="M7" s="29"/>
      <c r="N7" s="29"/>
    </row>
    <row r="8" spans="2:14" ht="11.25" customHeight="1" thickBot="1">
      <c r="B8" s="838"/>
      <c r="C8" s="838"/>
      <c r="D8" s="838"/>
      <c r="E8" s="838"/>
      <c r="F8" s="838"/>
      <c r="G8" s="838"/>
      <c r="H8" s="836"/>
      <c r="I8" s="836"/>
      <c r="J8" s="836"/>
      <c r="K8" s="836"/>
      <c r="L8" s="838"/>
      <c r="M8" s="29"/>
      <c r="N8" s="29"/>
    </row>
    <row r="9" spans="2:17" ht="26.25" customHeight="1" thickBot="1">
      <c r="B9" s="2046" t="s">
        <v>44</v>
      </c>
      <c r="C9" s="2046" t="s">
        <v>6</v>
      </c>
      <c r="D9" s="2026" t="s">
        <v>645</v>
      </c>
      <c r="E9" s="2057" t="s">
        <v>8</v>
      </c>
      <c r="F9" s="2058"/>
      <c r="G9" s="2059"/>
      <c r="H9" s="2050" t="s">
        <v>47</v>
      </c>
      <c r="I9" s="2052"/>
      <c r="J9" s="2055" t="s">
        <v>230</v>
      </c>
      <c r="K9" s="2056"/>
      <c r="L9" s="2053" t="s">
        <v>117</v>
      </c>
      <c r="M9" s="2043" t="s">
        <v>231</v>
      </c>
      <c r="N9" s="2044"/>
      <c r="O9" s="2044"/>
      <c r="P9" s="2044"/>
      <c r="Q9" s="2045"/>
    </row>
    <row r="10" spans="2:17" ht="16.5" thickBot="1">
      <c r="B10" s="2047"/>
      <c r="C10" s="2047"/>
      <c r="D10" s="2027"/>
      <c r="E10" s="705" t="s">
        <v>646</v>
      </c>
      <c r="F10" s="847" t="s">
        <v>233</v>
      </c>
      <c r="G10" s="351" t="s">
        <v>234</v>
      </c>
      <c r="H10" s="704" t="s">
        <v>646</v>
      </c>
      <c r="I10" s="694" t="s">
        <v>133</v>
      </c>
      <c r="J10" s="693" t="s">
        <v>646</v>
      </c>
      <c r="K10" s="839" t="s">
        <v>234</v>
      </c>
      <c r="L10" s="2054"/>
      <c r="M10" s="355" t="s">
        <v>235</v>
      </c>
      <c r="N10" s="356" t="s">
        <v>133</v>
      </c>
      <c r="O10" s="355" t="s">
        <v>235</v>
      </c>
      <c r="P10" s="357" t="s">
        <v>234</v>
      </c>
      <c r="Q10" s="358"/>
    </row>
    <row r="11" spans="1:17" ht="17.1" customHeight="1">
      <c r="A11" s="20"/>
      <c r="B11" s="359">
        <v>1</v>
      </c>
      <c r="C11" s="918" t="s">
        <v>166</v>
      </c>
      <c r="D11" s="921">
        <v>7</v>
      </c>
      <c r="E11" s="571">
        <f aca="true" t="shared" si="0" ref="E11:E12">D11/1000</f>
        <v>0.007</v>
      </c>
      <c r="F11" s="570">
        <v>1450</v>
      </c>
      <c r="G11" s="706">
        <f>E11*F11</f>
        <v>10.15</v>
      </c>
      <c r="H11" s="362"/>
      <c r="I11" s="363"/>
      <c r="J11" s="362"/>
      <c r="K11" s="364"/>
      <c r="L11" s="365" t="s">
        <v>609</v>
      </c>
      <c r="M11" s="366"/>
      <c r="N11" s="367"/>
      <c r="O11" s="300"/>
      <c r="P11" s="368"/>
      <c r="Q11" s="369"/>
    </row>
    <row r="12" spans="1:17" ht="17.1" customHeight="1">
      <c r="A12" s="20"/>
      <c r="B12" s="359">
        <f>B11+1</f>
        <v>2</v>
      </c>
      <c r="C12" s="919" t="s">
        <v>373</v>
      </c>
      <c r="D12" s="922">
        <v>40</v>
      </c>
      <c r="E12" s="571">
        <f t="shared" si="0"/>
        <v>0.04</v>
      </c>
      <c r="F12" s="570">
        <v>1450</v>
      </c>
      <c r="G12" s="707">
        <f aca="true" t="shared" si="1" ref="G12">E12*F12</f>
        <v>58</v>
      </c>
      <c r="H12" s="370"/>
      <c r="I12" s="363"/>
      <c r="J12" s="370"/>
      <c r="K12" s="371"/>
      <c r="L12" s="372" t="s">
        <v>608</v>
      </c>
      <c r="M12" s="373"/>
      <c r="N12" s="374"/>
      <c r="O12" s="294"/>
      <c r="P12" s="375"/>
      <c r="Q12" s="376"/>
    </row>
    <row r="13" spans="1:17" ht="17.1" customHeight="1">
      <c r="A13" s="20"/>
      <c r="B13" s="359">
        <f aca="true" t="shared" si="2" ref="B13:B15">B12+1</f>
        <v>3</v>
      </c>
      <c r="C13" s="919" t="s">
        <v>570</v>
      </c>
      <c r="D13" s="922">
        <v>4</v>
      </c>
      <c r="E13" s="571">
        <f>D13/1000</f>
        <v>0.004</v>
      </c>
      <c r="F13" s="570">
        <v>1450</v>
      </c>
      <c r="G13" s="707">
        <f>E13*F13</f>
        <v>5.8</v>
      </c>
      <c r="H13" s="370"/>
      <c r="I13" s="363"/>
      <c r="J13" s="377"/>
      <c r="K13" s="371"/>
      <c r="L13" s="372" t="s">
        <v>610</v>
      </c>
      <c r="M13" s="373"/>
      <c r="N13" s="374"/>
      <c r="O13" s="294"/>
      <c r="P13" s="375"/>
      <c r="Q13" s="376"/>
    </row>
    <row r="14" spans="1:17" ht="18.6" customHeight="1">
      <c r="A14" s="20"/>
      <c r="B14" s="359">
        <f t="shared" si="2"/>
        <v>4</v>
      </c>
      <c r="C14" s="919" t="s">
        <v>643</v>
      </c>
      <c r="D14" s="922">
        <v>3</v>
      </c>
      <c r="E14" s="571">
        <f>D14/1000</f>
        <v>0.003</v>
      </c>
      <c r="F14" s="570">
        <v>1450</v>
      </c>
      <c r="G14" s="707">
        <f>E14*F14</f>
        <v>4.3500000000000005</v>
      </c>
      <c r="H14" s="370"/>
      <c r="I14" s="363"/>
      <c r="J14" s="377"/>
      <c r="K14" s="371"/>
      <c r="L14" s="372" t="s">
        <v>647</v>
      </c>
      <c r="M14" s="373"/>
      <c r="N14" s="374"/>
      <c r="O14" s="294"/>
      <c r="P14" s="375"/>
      <c r="Q14" s="376"/>
    </row>
    <row r="15" spans="1:17" ht="17.1" customHeight="1">
      <c r="A15" s="20"/>
      <c r="B15" s="359">
        <f t="shared" si="2"/>
        <v>5</v>
      </c>
      <c r="C15" s="919" t="s">
        <v>644</v>
      </c>
      <c r="D15" s="922">
        <v>40</v>
      </c>
      <c r="E15" s="571">
        <f>D15/1000</f>
        <v>0.04</v>
      </c>
      <c r="F15" s="570">
        <v>1450</v>
      </c>
      <c r="G15" s="708">
        <f>E15*F15</f>
        <v>58</v>
      </c>
      <c r="H15" s="370"/>
      <c r="I15" s="363"/>
      <c r="J15" s="377"/>
      <c r="K15" s="371"/>
      <c r="L15" s="372" t="s">
        <v>648</v>
      </c>
      <c r="M15" s="373"/>
      <c r="N15" s="374"/>
      <c r="O15" s="294"/>
      <c r="P15" s="375"/>
      <c r="Q15" s="376"/>
    </row>
    <row r="16" spans="1:17" ht="17.1" customHeight="1" thickBot="1">
      <c r="A16" s="20"/>
      <c r="B16" s="397"/>
      <c r="C16" s="709" t="s">
        <v>655</v>
      </c>
      <c r="D16" s="923">
        <v>1</v>
      </c>
      <c r="E16" s="710">
        <f>D16/1000</f>
        <v>0.001</v>
      </c>
      <c r="F16" s="570">
        <v>1450</v>
      </c>
      <c r="G16" s="708">
        <f>E16*F16</f>
        <v>1.45</v>
      </c>
      <c r="H16" s="711"/>
      <c r="I16" s="392"/>
      <c r="J16" s="712"/>
      <c r="K16" s="713"/>
      <c r="L16" s="714"/>
      <c r="M16" s="715"/>
      <c r="N16" s="716"/>
      <c r="O16" s="717"/>
      <c r="P16" s="395"/>
      <c r="Q16" s="718"/>
    </row>
    <row r="17" spans="2:17" ht="16.5" thickBot="1">
      <c r="B17" s="306"/>
      <c r="C17" s="920" t="s">
        <v>110</v>
      </c>
      <c r="D17" s="924">
        <f>SUM(D11:D16)</f>
        <v>95</v>
      </c>
      <c r="E17" s="577">
        <f>SUM(E11:E16)</f>
        <v>0.095</v>
      </c>
      <c r="F17" s="578"/>
      <c r="G17" s="703">
        <f>SUM(G11:G16)</f>
        <v>137.75</v>
      </c>
      <c r="H17" s="702">
        <f>SUM(H11:H15)</f>
        <v>0</v>
      </c>
      <c r="I17" s="383">
        <f>SUM(I11:I15)</f>
        <v>0</v>
      </c>
      <c r="J17" s="384">
        <f>SUM(J11:J15)</f>
        <v>0</v>
      </c>
      <c r="K17" s="385">
        <f>J17*1620</f>
        <v>0</v>
      </c>
      <c r="L17" s="386"/>
      <c r="M17" s="387">
        <f>SUM(M11:M15)</f>
        <v>0</v>
      </c>
      <c r="N17" s="387">
        <f>SUM(N11:N15)</f>
        <v>0</v>
      </c>
      <c r="O17" s="387">
        <f>SUM(O11:O15)</f>
        <v>0</v>
      </c>
      <c r="P17" s="387">
        <f>SUM(P11:P15)</f>
        <v>0</v>
      </c>
      <c r="Q17" s="360"/>
    </row>
    <row r="18" spans="2:17" ht="15.75">
      <c r="B18" s="349"/>
      <c r="C18" s="388"/>
      <c r="D18" s="389"/>
      <c r="E18" s="390"/>
      <c r="F18" s="390"/>
      <c r="G18" s="391"/>
      <c r="H18" s="392"/>
      <c r="I18" s="392"/>
      <c r="J18" s="392"/>
      <c r="K18" s="390"/>
      <c r="L18" s="393"/>
      <c r="M18" s="394"/>
      <c r="N18" s="394"/>
      <c r="O18" s="394"/>
      <c r="P18" s="394"/>
      <c r="Q18" s="395"/>
    </row>
    <row r="19" spans="2:14" ht="42.75" customHeight="1">
      <c r="B19" s="29"/>
      <c r="C19" s="29" t="s">
        <v>37</v>
      </c>
      <c r="D19" s="29"/>
      <c r="E19" s="159"/>
      <c r="F19" s="159"/>
      <c r="G19" s="159" t="s">
        <v>143</v>
      </c>
      <c r="H19" s="29"/>
      <c r="I19" s="30" t="s">
        <v>96</v>
      </c>
      <c r="J19" s="29"/>
      <c r="K19" s="29"/>
      <c r="L19" s="29"/>
      <c r="M19" s="29"/>
      <c r="N19" s="29"/>
    </row>
    <row r="20" spans="2:14" ht="15.7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</sheetData>
  <mergeCells count="12">
    <mergeCell ref="M9:Q9"/>
    <mergeCell ref="J9:K9"/>
    <mergeCell ref="G2:L2"/>
    <mergeCell ref="B5:L5"/>
    <mergeCell ref="B7:L7"/>
    <mergeCell ref="B9:B10"/>
    <mergeCell ref="C9:C10"/>
    <mergeCell ref="D9:D10"/>
    <mergeCell ref="E9:G9"/>
    <mergeCell ref="H9:I9"/>
    <mergeCell ref="L9:L10"/>
    <mergeCell ref="B6:L6"/>
  </mergeCells>
  <printOptions horizontalCentered="1"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51"/>
  <sheetViews>
    <sheetView workbookViewId="0" topLeftCell="A49">
      <selection activeCell="AE27" sqref="AE27"/>
    </sheetView>
  </sheetViews>
  <sheetFormatPr defaultColWidth="9.00390625" defaultRowHeight="12.75"/>
  <cols>
    <col min="2" max="2" width="6.625" style="0" customWidth="1"/>
    <col min="3" max="3" width="34.375" style="0" customWidth="1"/>
    <col min="4" max="4" width="16.125" style="0" customWidth="1"/>
    <col min="5" max="5" width="20.375" style="0" customWidth="1"/>
    <col min="6" max="6" width="6.25390625" style="0" hidden="1" customWidth="1"/>
    <col min="7" max="7" width="6.625" style="0" hidden="1" customWidth="1"/>
    <col min="8" max="8" width="12.75390625" style="0" hidden="1" customWidth="1"/>
    <col min="9" max="9" width="6.00390625" style="0" hidden="1" customWidth="1"/>
    <col min="10" max="10" width="7.25390625" style="0" hidden="1" customWidth="1"/>
    <col min="11" max="11" width="14.75390625" style="0" hidden="1" customWidth="1"/>
    <col min="12" max="12" width="7.125" style="0" hidden="1" customWidth="1"/>
    <col min="13" max="13" width="7.00390625" style="0" hidden="1" customWidth="1"/>
    <col min="14" max="14" width="13.00390625" style="0" hidden="1" customWidth="1"/>
    <col min="15" max="15" width="6.25390625" style="0" hidden="1" customWidth="1"/>
    <col min="16" max="16" width="6.875" style="0" hidden="1" customWidth="1"/>
    <col min="17" max="17" width="11.625" style="0" hidden="1" customWidth="1"/>
    <col min="18" max="18" width="6.125" style="0" hidden="1" customWidth="1"/>
    <col min="19" max="19" width="7.375" style="0" hidden="1" customWidth="1"/>
    <col min="20" max="20" width="11.375" style="0" hidden="1" customWidth="1"/>
    <col min="21" max="21" width="7.125" style="0" hidden="1" customWidth="1"/>
    <col min="22" max="23" width="7.875" style="0" hidden="1" customWidth="1"/>
    <col min="24" max="24" width="14.625" style="0" hidden="1" customWidth="1"/>
    <col min="25" max="25" width="4.125" style="0" customWidth="1"/>
  </cols>
  <sheetData>
    <row r="1" ht="25.5" customHeight="1"/>
    <row r="2" spans="2:24" ht="82.5" customHeight="1">
      <c r="B2" s="239"/>
      <c r="C2" s="2028" t="s">
        <v>214</v>
      </c>
      <c r="D2" s="2028"/>
      <c r="E2" s="202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</row>
    <row r="3" spans="13:18" ht="12.75">
      <c r="M3" s="263"/>
      <c r="N3" s="263"/>
      <c r="O3" s="263"/>
      <c r="P3" s="263"/>
      <c r="Q3" s="263"/>
      <c r="R3" s="263"/>
    </row>
    <row r="4" spans="2:20" ht="25.5" customHeight="1">
      <c r="B4" s="2074" t="s">
        <v>299</v>
      </c>
      <c r="C4" s="2074"/>
      <c r="D4" s="2074"/>
      <c r="E4" s="207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</row>
    <row r="5" spans="2:20" ht="21" customHeight="1">
      <c r="B5" s="2075" t="s">
        <v>2</v>
      </c>
      <c r="C5" s="2075"/>
      <c r="D5" s="2075"/>
      <c r="E5" s="2075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</row>
    <row r="6" spans="12:19" ht="13.5" thickBot="1">
      <c r="L6" s="2061" t="s">
        <v>456</v>
      </c>
      <c r="M6" s="2061"/>
      <c r="N6" s="45"/>
      <c r="O6" s="2061" t="s">
        <v>456</v>
      </c>
      <c r="P6" s="2061"/>
      <c r="Q6" s="45"/>
      <c r="R6" s="2061" t="s">
        <v>456</v>
      </c>
      <c r="S6" s="2061"/>
    </row>
    <row r="7" spans="2:24" ht="12.75">
      <c r="B7" s="2076" t="s">
        <v>215</v>
      </c>
      <c r="C7" s="2079" t="s">
        <v>6</v>
      </c>
      <c r="D7" s="2082" t="s">
        <v>216</v>
      </c>
      <c r="E7" s="2079" t="s">
        <v>217</v>
      </c>
      <c r="F7" s="2084" t="s">
        <v>218</v>
      </c>
      <c r="G7" s="2063"/>
      <c r="H7" s="265"/>
      <c r="I7" s="2062" t="s">
        <v>219</v>
      </c>
      <c r="J7" s="2063"/>
      <c r="K7" s="265"/>
      <c r="L7" s="2062" t="s">
        <v>220</v>
      </c>
      <c r="M7" s="2063"/>
      <c r="N7" s="265"/>
      <c r="O7" s="2062" t="s">
        <v>157</v>
      </c>
      <c r="P7" s="2063"/>
      <c r="Q7" s="265"/>
      <c r="R7" s="2062" t="s">
        <v>221</v>
      </c>
      <c r="S7" s="2063"/>
      <c r="T7" s="266"/>
      <c r="U7" s="2062" t="s">
        <v>153</v>
      </c>
      <c r="V7" s="2067" t="s">
        <v>431</v>
      </c>
      <c r="W7" s="2068"/>
      <c r="X7" s="2069"/>
    </row>
    <row r="8" spans="2:24" ht="13.5" thickBot="1">
      <c r="B8" s="2077"/>
      <c r="C8" s="2080"/>
      <c r="D8" s="2083"/>
      <c r="E8" s="2081"/>
      <c r="F8" s="2085"/>
      <c r="G8" s="2065"/>
      <c r="H8" s="267" t="s">
        <v>132</v>
      </c>
      <c r="I8" s="2064"/>
      <c r="J8" s="2065"/>
      <c r="K8" s="268" t="s">
        <v>132</v>
      </c>
      <c r="L8" s="2073" t="s">
        <v>222</v>
      </c>
      <c r="M8" s="2065"/>
      <c r="N8" s="267" t="s">
        <v>132</v>
      </c>
      <c r="O8" s="2064"/>
      <c r="P8" s="2065"/>
      <c r="Q8" s="267" t="s">
        <v>132</v>
      </c>
      <c r="R8" s="2064"/>
      <c r="S8" s="2065"/>
      <c r="T8" s="267" t="s">
        <v>132</v>
      </c>
      <c r="U8" s="2066"/>
      <c r="V8" s="2070"/>
      <c r="W8" s="2071"/>
      <c r="X8" s="2072"/>
    </row>
    <row r="9" spans="2:24" ht="16.5" thickBot="1">
      <c r="B9" s="2078"/>
      <c r="C9" s="2081"/>
      <c r="D9" s="304" t="s">
        <v>129</v>
      </c>
      <c r="E9" s="304" t="s">
        <v>184</v>
      </c>
      <c r="F9" s="269" t="s">
        <v>145</v>
      </c>
      <c r="G9" s="270" t="s">
        <v>130</v>
      </c>
      <c r="H9" s="271"/>
      <c r="I9" s="272" t="s">
        <v>145</v>
      </c>
      <c r="J9" s="270" t="s">
        <v>130</v>
      </c>
      <c r="K9" s="271"/>
      <c r="L9" s="273" t="s">
        <v>145</v>
      </c>
      <c r="M9" s="270" t="s">
        <v>130</v>
      </c>
      <c r="N9" s="271"/>
      <c r="O9" s="273" t="s">
        <v>145</v>
      </c>
      <c r="P9" s="270" t="s">
        <v>130</v>
      </c>
      <c r="Q9" s="271"/>
      <c r="R9" s="274" t="s">
        <v>145</v>
      </c>
      <c r="S9" s="275" t="s">
        <v>130</v>
      </c>
      <c r="T9" s="276"/>
      <c r="U9" s="2064"/>
      <c r="V9" s="277" t="s">
        <v>129</v>
      </c>
      <c r="W9" s="278" t="s">
        <v>184</v>
      </c>
      <c r="X9" s="279" t="s">
        <v>223</v>
      </c>
    </row>
    <row r="10" spans="2:24" ht="6" customHeight="1" thickBot="1">
      <c r="B10" s="305"/>
      <c r="C10" s="306"/>
      <c r="D10" s="307"/>
      <c r="E10" s="307"/>
      <c r="F10" s="281"/>
      <c r="G10" s="282"/>
      <c r="H10" s="283"/>
      <c r="I10" s="284"/>
      <c r="J10" s="282"/>
      <c r="K10" s="283"/>
      <c r="L10" s="285"/>
      <c r="M10" s="282"/>
      <c r="N10" s="283"/>
      <c r="O10" s="285"/>
      <c r="P10" s="282"/>
      <c r="Q10" s="283"/>
      <c r="R10" s="280"/>
      <c r="S10" s="275"/>
      <c r="T10" s="286"/>
      <c r="U10" s="280"/>
      <c r="V10" s="287"/>
      <c r="W10" s="288"/>
      <c r="X10" s="289"/>
    </row>
    <row r="11" spans="2:24" ht="21.95" customHeight="1">
      <c r="B11" s="310">
        <f aca="true" t="shared" si="0" ref="B11:B47">B10+1</f>
        <v>1</v>
      </c>
      <c r="C11" s="311" t="s">
        <v>306</v>
      </c>
      <c r="D11" s="655">
        <v>1</v>
      </c>
      <c r="E11" s="636">
        <f aca="true" t="shared" si="1" ref="E11:E47">D11*3.544</f>
        <v>3.544</v>
      </c>
      <c r="F11" s="290"/>
      <c r="G11" s="291"/>
      <c r="H11" s="291"/>
      <c r="I11" s="291"/>
      <c r="J11" s="292"/>
      <c r="K11" s="292"/>
      <c r="L11" s="291"/>
      <c r="M11" s="291"/>
      <c r="N11" s="654"/>
      <c r="O11" s="291"/>
      <c r="P11" s="291"/>
      <c r="Q11" s="291"/>
      <c r="R11" s="291"/>
      <c r="S11" s="292"/>
      <c r="T11" s="291"/>
      <c r="U11" s="293"/>
      <c r="V11" s="294"/>
      <c r="W11" s="147"/>
      <c r="X11" s="295"/>
    </row>
    <row r="12" spans="2:24" ht="21.95" customHeight="1">
      <c r="B12" s="310">
        <f t="shared" si="0"/>
        <v>2</v>
      </c>
      <c r="C12" s="209" t="s">
        <v>307</v>
      </c>
      <c r="D12" s="655">
        <v>1</v>
      </c>
      <c r="E12" s="636">
        <f t="shared" si="1"/>
        <v>3.544</v>
      </c>
      <c r="F12" s="290"/>
      <c r="G12" s="291"/>
      <c r="H12" s="291"/>
      <c r="I12" s="291"/>
      <c r="J12" s="292"/>
      <c r="K12" s="292"/>
      <c r="L12" s="291"/>
      <c r="M12" s="291"/>
      <c r="N12" s="654"/>
      <c r="O12" s="291"/>
      <c r="P12" s="291"/>
      <c r="Q12" s="291"/>
      <c r="R12" s="291"/>
      <c r="S12" s="292"/>
      <c r="T12" s="291"/>
      <c r="U12" s="293"/>
      <c r="V12" s="294"/>
      <c r="W12" s="147"/>
      <c r="X12" s="295"/>
    </row>
    <row r="13" spans="2:24" ht="21.95" customHeight="1">
      <c r="B13" s="310">
        <f t="shared" si="0"/>
        <v>3</v>
      </c>
      <c r="C13" s="312" t="s">
        <v>312</v>
      </c>
      <c r="D13" s="655">
        <v>1</v>
      </c>
      <c r="E13" s="636">
        <f t="shared" si="1"/>
        <v>3.544</v>
      </c>
      <c r="F13" s="296"/>
      <c r="G13" s="297"/>
      <c r="H13" s="297"/>
      <c r="I13" s="297"/>
      <c r="J13" s="298"/>
      <c r="K13" s="298"/>
      <c r="L13" s="297"/>
      <c r="M13" s="297"/>
      <c r="N13" s="652"/>
      <c r="O13" s="297"/>
      <c r="P13" s="297"/>
      <c r="Q13" s="297"/>
      <c r="R13" s="297"/>
      <c r="S13" s="298"/>
      <c r="T13" s="297"/>
      <c r="U13" s="299"/>
      <c r="V13" s="300"/>
      <c r="W13" s="136"/>
      <c r="X13" s="301"/>
    </row>
    <row r="14" spans="2:24" ht="21.95" customHeight="1">
      <c r="B14" s="310">
        <f t="shared" si="0"/>
        <v>4</v>
      </c>
      <c r="C14" s="312" t="s">
        <v>72</v>
      </c>
      <c r="D14" s="655">
        <v>1</v>
      </c>
      <c r="E14" s="636">
        <f t="shared" si="1"/>
        <v>3.544</v>
      </c>
      <c r="F14" s="296"/>
      <c r="G14" s="297"/>
      <c r="H14" s="297"/>
      <c r="I14" s="297"/>
      <c r="J14" s="298"/>
      <c r="K14" s="298"/>
      <c r="L14" s="297"/>
      <c r="M14" s="297"/>
      <c r="N14" s="652"/>
      <c r="O14" s="297"/>
      <c r="P14" s="297"/>
      <c r="Q14" s="297"/>
      <c r="R14" s="297"/>
      <c r="S14" s="298"/>
      <c r="T14" s="297"/>
      <c r="U14" s="299"/>
      <c r="V14" s="300"/>
      <c r="W14" s="136"/>
      <c r="X14" s="301"/>
    </row>
    <row r="15" spans="2:24" ht="21.95" customHeight="1">
      <c r="B15" s="310">
        <f t="shared" si="0"/>
        <v>5</v>
      </c>
      <c r="C15" s="312" t="s">
        <v>26</v>
      </c>
      <c r="D15" s="655">
        <v>2</v>
      </c>
      <c r="E15" s="636">
        <f t="shared" si="1"/>
        <v>7.088</v>
      </c>
      <c r="F15" s="296"/>
      <c r="G15" s="297"/>
      <c r="H15" s="297"/>
      <c r="I15" s="297"/>
      <c r="J15" s="298"/>
      <c r="K15" s="298"/>
      <c r="L15" s="297"/>
      <c r="M15" s="297"/>
      <c r="N15" s="652"/>
      <c r="O15" s="297"/>
      <c r="P15" s="297"/>
      <c r="Q15" s="297"/>
      <c r="R15" s="297"/>
      <c r="S15" s="298"/>
      <c r="T15" s="297"/>
      <c r="U15" s="299"/>
      <c r="V15" s="300"/>
      <c r="W15" s="136"/>
      <c r="X15" s="301"/>
    </row>
    <row r="16" spans="2:24" ht="21.95" customHeight="1">
      <c r="B16" s="310">
        <f t="shared" si="0"/>
        <v>6</v>
      </c>
      <c r="C16" s="312" t="s">
        <v>27</v>
      </c>
      <c r="D16" s="655">
        <v>2</v>
      </c>
      <c r="E16" s="636">
        <f t="shared" si="1"/>
        <v>7.088</v>
      </c>
      <c r="F16" s="296"/>
      <c r="G16" s="297"/>
      <c r="H16" s="297"/>
      <c r="I16" s="297"/>
      <c r="J16" s="298"/>
      <c r="K16" s="298"/>
      <c r="L16" s="297"/>
      <c r="M16" s="297"/>
      <c r="N16" s="652"/>
      <c r="O16" s="297"/>
      <c r="P16" s="297"/>
      <c r="Q16" s="297"/>
      <c r="R16" s="297"/>
      <c r="S16" s="298"/>
      <c r="T16" s="297"/>
      <c r="U16" s="299"/>
      <c r="V16" s="300"/>
      <c r="W16" s="136"/>
      <c r="X16" s="301"/>
    </row>
    <row r="17" spans="2:24" ht="21.95" customHeight="1">
      <c r="B17" s="310">
        <f t="shared" si="0"/>
        <v>7</v>
      </c>
      <c r="C17" s="312" t="s">
        <v>313</v>
      </c>
      <c r="D17" s="655">
        <v>1</v>
      </c>
      <c r="E17" s="636">
        <f t="shared" si="1"/>
        <v>3.544</v>
      </c>
      <c r="F17" s="296"/>
      <c r="G17" s="297"/>
      <c r="H17" s="297"/>
      <c r="I17" s="297"/>
      <c r="J17" s="298"/>
      <c r="K17" s="298"/>
      <c r="L17" s="297"/>
      <c r="M17" s="297"/>
      <c r="N17" s="652"/>
      <c r="O17" s="297"/>
      <c r="P17" s="297"/>
      <c r="Q17" s="297"/>
      <c r="R17" s="297"/>
      <c r="S17" s="298"/>
      <c r="T17" s="297"/>
      <c r="U17" s="299"/>
      <c r="V17" s="300"/>
      <c r="W17" s="136"/>
      <c r="X17" s="301"/>
    </row>
    <row r="18" spans="2:24" ht="21.95" customHeight="1">
      <c r="B18" s="310">
        <f t="shared" si="0"/>
        <v>8</v>
      </c>
      <c r="C18" s="312" t="s">
        <v>613</v>
      </c>
      <c r="D18" s="655">
        <v>1</v>
      </c>
      <c r="E18" s="636">
        <f t="shared" si="1"/>
        <v>3.544</v>
      </c>
      <c r="F18" s="296"/>
      <c r="G18" s="297"/>
      <c r="H18" s="297"/>
      <c r="I18" s="297"/>
      <c r="J18" s="298"/>
      <c r="K18" s="298"/>
      <c r="L18" s="297"/>
      <c r="M18" s="297"/>
      <c r="N18" s="652"/>
      <c r="O18" s="297"/>
      <c r="P18" s="297"/>
      <c r="Q18" s="297"/>
      <c r="R18" s="297"/>
      <c r="S18" s="298"/>
      <c r="T18" s="297"/>
      <c r="U18" s="299"/>
      <c r="V18" s="300"/>
      <c r="W18" s="136"/>
      <c r="X18" s="301"/>
    </row>
    <row r="19" spans="2:24" ht="24.75" customHeight="1">
      <c r="B19" s="310">
        <f t="shared" si="0"/>
        <v>9</v>
      </c>
      <c r="C19" s="312" t="s">
        <v>430</v>
      </c>
      <c r="D19" s="655">
        <f>F19+I19+L19+O19+R19</f>
        <v>1</v>
      </c>
      <c r="E19" s="636">
        <f t="shared" si="1"/>
        <v>3.544</v>
      </c>
      <c r="F19" s="296"/>
      <c r="G19" s="297"/>
      <c r="H19" s="297"/>
      <c r="I19" s="297">
        <v>1</v>
      </c>
      <c r="J19" s="298">
        <v>2.1</v>
      </c>
      <c r="K19" s="298" t="s">
        <v>424</v>
      </c>
      <c r="L19" s="297"/>
      <c r="M19" s="297"/>
      <c r="N19" s="652"/>
      <c r="O19" s="297"/>
      <c r="P19" s="297"/>
      <c r="Q19" s="297"/>
      <c r="R19" s="297"/>
      <c r="S19" s="298"/>
      <c r="T19" s="297"/>
      <c r="U19" s="299"/>
      <c r="V19" s="300"/>
      <c r="W19" s="136"/>
      <c r="X19" s="301"/>
    </row>
    <row r="20" spans="2:24" ht="21.95" customHeight="1">
      <c r="B20" s="310">
        <f t="shared" si="0"/>
        <v>10</v>
      </c>
      <c r="C20" s="312" t="s">
        <v>77</v>
      </c>
      <c r="D20" s="655">
        <v>1</v>
      </c>
      <c r="E20" s="636">
        <f t="shared" si="1"/>
        <v>3.544</v>
      </c>
      <c r="F20" s="296"/>
      <c r="G20" s="297"/>
      <c r="H20" s="297"/>
      <c r="I20" s="297"/>
      <c r="J20" s="298"/>
      <c r="K20" s="298"/>
      <c r="L20" s="297"/>
      <c r="M20" s="297"/>
      <c r="N20" s="652"/>
      <c r="O20" s="297"/>
      <c r="P20" s="297"/>
      <c r="Q20" s="297"/>
      <c r="R20" s="297"/>
      <c r="S20" s="298"/>
      <c r="T20" s="297"/>
      <c r="U20" s="299"/>
      <c r="V20" s="300"/>
      <c r="W20" s="136"/>
      <c r="X20" s="301"/>
    </row>
    <row r="21" spans="2:24" ht="21.95" customHeight="1">
      <c r="B21" s="310">
        <f t="shared" si="0"/>
        <v>11</v>
      </c>
      <c r="C21" s="312" t="s">
        <v>315</v>
      </c>
      <c r="D21" s="655">
        <v>1</v>
      </c>
      <c r="E21" s="636">
        <f t="shared" si="1"/>
        <v>3.544</v>
      </c>
      <c r="F21" s="296"/>
      <c r="G21" s="297"/>
      <c r="H21" s="297"/>
      <c r="I21" s="297"/>
      <c r="J21" s="298"/>
      <c r="K21" s="298"/>
      <c r="L21" s="297"/>
      <c r="M21" s="297"/>
      <c r="N21" s="652"/>
      <c r="O21" s="297"/>
      <c r="P21" s="297"/>
      <c r="Q21" s="297"/>
      <c r="R21" s="297"/>
      <c r="S21" s="298"/>
      <c r="T21" s="297"/>
      <c r="U21" s="299"/>
      <c r="V21" s="300"/>
      <c r="W21" s="136"/>
      <c r="X21" s="301"/>
    </row>
    <row r="22" spans="2:24" ht="21.95" customHeight="1">
      <c r="B22" s="310">
        <f t="shared" si="0"/>
        <v>12</v>
      </c>
      <c r="C22" s="312" t="s">
        <v>314</v>
      </c>
      <c r="D22" s="655">
        <v>1</v>
      </c>
      <c r="E22" s="636">
        <f t="shared" si="1"/>
        <v>3.544</v>
      </c>
      <c r="F22" s="296"/>
      <c r="G22" s="297"/>
      <c r="H22" s="297"/>
      <c r="I22" s="297"/>
      <c r="J22" s="298"/>
      <c r="K22" s="298"/>
      <c r="L22" s="297"/>
      <c r="M22" s="297"/>
      <c r="N22" s="652"/>
      <c r="O22" s="297"/>
      <c r="P22" s="297"/>
      <c r="Q22" s="297"/>
      <c r="R22" s="297"/>
      <c r="S22" s="298"/>
      <c r="T22" s="297"/>
      <c r="U22" s="299"/>
      <c r="V22" s="300"/>
      <c r="W22" s="136"/>
      <c r="X22" s="301"/>
    </row>
    <row r="23" spans="2:24" ht="21.95" customHeight="1">
      <c r="B23" s="310">
        <f t="shared" si="0"/>
        <v>13</v>
      </c>
      <c r="C23" s="312" t="s">
        <v>494</v>
      </c>
      <c r="D23" s="655">
        <f>F23+I23+L23+O23+R23</f>
        <v>1</v>
      </c>
      <c r="E23" s="636">
        <f t="shared" si="1"/>
        <v>3.544</v>
      </c>
      <c r="F23" s="296">
        <v>1</v>
      </c>
      <c r="G23" s="297">
        <v>2.1</v>
      </c>
      <c r="H23" s="297"/>
      <c r="I23" s="297"/>
      <c r="J23" s="298"/>
      <c r="K23" s="298"/>
      <c r="L23" s="297"/>
      <c r="M23" s="297"/>
      <c r="N23" s="652"/>
      <c r="O23" s="297"/>
      <c r="P23" s="297"/>
      <c r="Q23" s="297"/>
      <c r="R23" s="297"/>
      <c r="S23" s="298"/>
      <c r="T23" s="297"/>
      <c r="U23" s="299"/>
      <c r="V23" s="300"/>
      <c r="W23" s="136"/>
      <c r="X23" s="301"/>
    </row>
    <row r="24" spans="2:24" ht="21.95" customHeight="1">
      <c r="B24" s="310">
        <f t="shared" si="0"/>
        <v>14</v>
      </c>
      <c r="C24" s="312" t="s">
        <v>316</v>
      </c>
      <c r="D24" s="655">
        <v>2</v>
      </c>
      <c r="E24" s="636">
        <f t="shared" si="1"/>
        <v>7.088</v>
      </c>
      <c r="F24" s="296">
        <v>1</v>
      </c>
      <c r="G24" s="297">
        <v>2.1</v>
      </c>
      <c r="H24" s="297"/>
      <c r="I24" s="297"/>
      <c r="J24" s="298"/>
      <c r="K24" s="298"/>
      <c r="L24" s="297"/>
      <c r="M24" s="297"/>
      <c r="N24" s="652"/>
      <c r="O24" s="297"/>
      <c r="P24" s="297"/>
      <c r="Q24" s="297"/>
      <c r="R24" s="297"/>
      <c r="S24" s="298"/>
      <c r="T24" s="297"/>
      <c r="U24" s="299"/>
      <c r="V24" s="300"/>
      <c r="W24" s="136"/>
      <c r="X24" s="301"/>
    </row>
    <row r="25" spans="2:24" ht="21.95" customHeight="1">
      <c r="B25" s="310">
        <f t="shared" si="0"/>
        <v>15</v>
      </c>
      <c r="C25" s="312" t="s">
        <v>317</v>
      </c>
      <c r="D25" s="655">
        <v>2</v>
      </c>
      <c r="E25" s="636">
        <f t="shared" si="1"/>
        <v>7.088</v>
      </c>
      <c r="F25" s="296">
        <v>1</v>
      </c>
      <c r="G25" s="297">
        <v>2.1</v>
      </c>
      <c r="H25" s="297" t="s">
        <v>308</v>
      </c>
      <c r="I25" s="297"/>
      <c r="J25" s="298"/>
      <c r="K25" s="298"/>
      <c r="L25" s="297"/>
      <c r="M25" s="297"/>
      <c r="N25" s="652"/>
      <c r="O25" s="297"/>
      <c r="P25" s="297"/>
      <c r="Q25" s="297"/>
      <c r="R25" s="297"/>
      <c r="S25" s="298"/>
      <c r="T25" s="297"/>
      <c r="U25" s="299"/>
      <c r="V25" s="300"/>
      <c r="W25" s="136"/>
      <c r="X25" s="301"/>
    </row>
    <row r="26" spans="2:24" ht="21.95" customHeight="1">
      <c r="B26" s="310">
        <f t="shared" si="0"/>
        <v>16</v>
      </c>
      <c r="C26" s="312" t="s">
        <v>322</v>
      </c>
      <c r="D26" s="655">
        <v>1</v>
      </c>
      <c r="E26" s="636">
        <f t="shared" si="1"/>
        <v>3.544</v>
      </c>
      <c r="F26" s="296"/>
      <c r="G26" s="297"/>
      <c r="H26" s="297"/>
      <c r="I26" s="297"/>
      <c r="J26" s="298"/>
      <c r="K26" s="298"/>
      <c r="L26" s="297"/>
      <c r="M26" s="297"/>
      <c r="N26" s="652"/>
      <c r="O26" s="297"/>
      <c r="P26" s="297"/>
      <c r="Q26" s="297"/>
      <c r="R26" s="297"/>
      <c r="S26" s="298"/>
      <c r="T26" s="297"/>
      <c r="U26" s="299"/>
      <c r="V26" s="300"/>
      <c r="W26" s="136"/>
      <c r="X26" s="301"/>
    </row>
    <row r="27" spans="2:24" ht="21.95" customHeight="1">
      <c r="B27" s="310">
        <f t="shared" si="0"/>
        <v>17</v>
      </c>
      <c r="C27" s="312" t="s">
        <v>323</v>
      </c>
      <c r="D27" s="655">
        <v>1</v>
      </c>
      <c r="E27" s="636">
        <f t="shared" si="1"/>
        <v>3.544</v>
      </c>
      <c r="F27" s="296"/>
      <c r="G27" s="297"/>
      <c r="H27" s="297"/>
      <c r="I27" s="297"/>
      <c r="J27" s="298"/>
      <c r="K27" s="298"/>
      <c r="L27" s="297"/>
      <c r="M27" s="297"/>
      <c r="N27" s="652"/>
      <c r="O27" s="297"/>
      <c r="P27" s="297"/>
      <c r="Q27" s="297"/>
      <c r="R27" s="297"/>
      <c r="S27" s="298"/>
      <c r="T27" s="297"/>
      <c r="U27" s="299"/>
      <c r="V27" s="300"/>
      <c r="W27" s="136"/>
      <c r="X27" s="301"/>
    </row>
    <row r="28" spans="2:24" ht="21.95" customHeight="1">
      <c r="B28" s="310">
        <f t="shared" si="0"/>
        <v>18</v>
      </c>
      <c r="C28" s="312" t="s">
        <v>324</v>
      </c>
      <c r="D28" s="655">
        <v>1</v>
      </c>
      <c r="E28" s="636">
        <f t="shared" si="1"/>
        <v>3.544</v>
      </c>
      <c r="F28" s="296"/>
      <c r="G28" s="297"/>
      <c r="H28" s="297"/>
      <c r="I28" s="297"/>
      <c r="J28" s="298"/>
      <c r="K28" s="298"/>
      <c r="L28" s="297"/>
      <c r="M28" s="297"/>
      <c r="N28" s="652"/>
      <c r="O28" s="297"/>
      <c r="P28" s="297"/>
      <c r="Q28" s="297"/>
      <c r="R28" s="297"/>
      <c r="S28" s="298"/>
      <c r="T28" s="297"/>
      <c r="U28" s="299"/>
      <c r="V28" s="300"/>
      <c r="W28" s="136"/>
      <c r="X28" s="301"/>
    </row>
    <row r="29" spans="2:24" ht="21.95" customHeight="1">
      <c r="B29" s="310">
        <f t="shared" si="0"/>
        <v>19</v>
      </c>
      <c r="C29" s="312" t="s">
        <v>187</v>
      </c>
      <c r="D29" s="655">
        <f>F29+I29+L29+O29+R29</f>
        <v>1</v>
      </c>
      <c r="E29" s="636">
        <f t="shared" si="1"/>
        <v>3.544</v>
      </c>
      <c r="F29" s="296">
        <v>1</v>
      </c>
      <c r="G29" s="297">
        <v>2.1</v>
      </c>
      <c r="H29" s="297" t="s">
        <v>404</v>
      </c>
      <c r="I29" s="297"/>
      <c r="J29" s="298"/>
      <c r="K29" s="298"/>
      <c r="L29" s="297"/>
      <c r="M29" s="297"/>
      <c r="N29" s="652"/>
      <c r="O29" s="297"/>
      <c r="P29" s="297"/>
      <c r="Q29" s="297"/>
      <c r="R29" s="297"/>
      <c r="S29" s="298"/>
      <c r="T29" s="297"/>
      <c r="U29" s="299"/>
      <c r="V29" s="300"/>
      <c r="W29" s="136"/>
      <c r="X29" s="301"/>
    </row>
    <row r="30" spans="2:24" ht="21.95" customHeight="1">
      <c r="B30" s="310">
        <f t="shared" si="0"/>
        <v>20</v>
      </c>
      <c r="C30" s="312" t="s">
        <v>212</v>
      </c>
      <c r="D30" s="655">
        <f>F30+I30+L30+O30+R30</f>
        <v>5</v>
      </c>
      <c r="E30" s="636">
        <f t="shared" si="1"/>
        <v>17.72</v>
      </c>
      <c r="F30" s="296"/>
      <c r="G30" s="297"/>
      <c r="H30" s="297"/>
      <c r="I30" s="297">
        <v>5</v>
      </c>
      <c r="J30" s="298">
        <f>2.1*I30</f>
        <v>10.5</v>
      </c>
      <c r="K30" s="298" t="s">
        <v>592</v>
      </c>
      <c r="L30" s="297"/>
      <c r="M30" s="297"/>
      <c r="N30" s="652"/>
      <c r="O30" s="297"/>
      <c r="P30" s="297"/>
      <c r="Q30" s="653"/>
      <c r="R30" s="297"/>
      <c r="S30" s="298"/>
      <c r="T30" s="297"/>
      <c r="U30" s="299"/>
      <c r="V30" s="300"/>
      <c r="W30" s="136"/>
      <c r="X30" s="301"/>
    </row>
    <row r="31" spans="2:24" ht="21.95" customHeight="1">
      <c r="B31" s="310">
        <f t="shared" si="0"/>
        <v>21</v>
      </c>
      <c r="C31" s="312" t="s">
        <v>284</v>
      </c>
      <c r="D31" s="655">
        <f>F31+I31+L31+O31+R31</f>
        <v>4</v>
      </c>
      <c r="E31" s="636">
        <f t="shared" si="1"/>
        <v>14.176</v>
      </c>
      <c r="F31" s="296"/>
      <c r="G31" s="297"/>
      <c r="H31" s="297"/>
      <c r="I31" s="297">
        <v>4</v>
      </c>
      <c r="J31" s="298">
        <f>2.1*I31</f>
        <v>8.4</v>
      </c>
      <c r="K31" s="298" t="s">
        <v>592</v>
      </c>
      <c r="L31" s="297"/>
      <c r="M31" s="297"/>
      <c r="N31" s="652"/>
      <c r="O31" s="297"/>
      <c r="P31" s="297"/>
      <c r="Q31" s="297"/>
      <c r="R31" s="297"/>
      <c r="S31" s="298"/>
      <c r="T31" s="297"/>
      <c r="U31" s="299"/>
      <c r="V31" s="300"/>
      <c r="W31" s="136"/>
      <c r="X31" s="301"/>
    </row>
    <row r="32" spans="2:24" ht="21.95" customHeight="1">
      <c r="B32" s="310">
        <f t="shared" si="0"/>
        <v>22</v>
      </c>
      <c r="C32" s="312" t="s">
        <v>258</v>
      </c>
      <c r="D32" s="655">
        <v>1</v>
      </c>
      <c r="E32" s="636">
        <f t="shared" si="1"/>
        <v>3.544</v>
      </c>
      <c r="F32" s="296"/>
      <c r="G32" s="297"/>
      <c r="H32" s="297"/>
      <c r="I32" s="297"/>
      <c r="J32" s="298"/>
      <c r="K32" s="298"/>
      <c r="L32" s="297"/>
      <c r="M32" s="297"/>
      <c r="N32" s="652"/>
      <c r="O32" s="297"/>
      <c r="P32" s="297"/>
      <c r="Q32" s="297"/>
      <c r="R32" s="297"/>
      <c r="S32" s="298"/>
      <c r="T32" s="297"/>
      <c r="U32" s="299"/>
      <c r="V32" s="300"/>
      <c r="W32" s="136"/>
      <c r="X32" s="301"/>
    </row>
    <row r="33" spans="2:24" ht="21.95" customHeight="1">
      <c r="B33" s="310">
        <f t="shared" si="0"/>
        <v>23</v>
      </c>
      <c r="C33" s="312" t="s">
        <v>163</v>
      </c>
      <c r="D33" s="655">
        <v>1</v>
      </c>
      <c r="E33" s="636">
        <f t="shared" si="1"/>
        <v>3.544</v>
      </c>
      <c r="F33" s="296"/>
      <c r="G33" s="297"/>
      <c r="H33" s="297"/>
      <c r="I33" s="297"/>
      <c r="J33" s="298"/>
      <c r="K33" s="298"/>
      <c r="L33" s="297"/>
      <c r="M33" s="297"/>
      <c r="N33" s="652"/>
      <c r="O33" s="297"/>
      <c r="P33" s="297"/>
      <c r="Q33" s="297"/>
      <c r="R33" s="297"/>
      <c r="S33" s="298"/>
      <c r="T33" s="297"/>
      <c r="U33" s="299"/>
      <c r="V33" s="300"/>
      <c r="W33" s="136"/>
      <c r="X33" s="301"/>
    </row>
    <row r="34" spans="2:24" ht="21.95" customHeight="1">
      <c r="B34" s="310">
        <f t="shared" si="0"/>
        <v>24</v>
      </c>
      <c r="C34" s="312" t="s">
        <v>267</v>
      </c>
      <c r="D34" s="655">
        <v>1</v>
      </c>
      <c r="E34" s="636">
        <f t="shared" si="1"/>
        <v>3.544</v>
      </c>
      <c r="F34" s="296"/>
      <c r="G34" s="297"/>
      <c r="H34" s="297"/>
      <c r="I34" s="297"/>
      <c r="J34" s="298"/>
      <c r="K34" s="298"/>
      <c r="L34" s="297"/>
      <c r="M34" s="297"/>
      <c r="N34" s="652"/>
      <c r="O34" s="297"/>
      <c r="P34" s="297"/>
      <c r="Q34" s="297"/>
      <c r="R34" s="297"/>
      <c r="S34" s="298"/>
      <c r="T34" s="297"/>
      <c r="U34" s="299"/>
      <c r="V34" s="300"/>
      <c r="W34" s="136"/>
      <c r="X34" s="301"/>
    </row>
    <row r="35" spans="2:24" ht="21.95" customHeight="1">
      <c r="B35" s="310">
        <f t="shared" si="0"/>
        <v>25</v>
      </c>
      <c r="C35" s="312" t="s">
        <v>246</v>
      </c>
      <c r="D35" s="655">
        <v>1</v>
      </c>
      <c r="E35" s="636">
        <f t="shared" si="1"/>
        <v>3.544</v>
      </c>
      <c r="F35" s="296"/>
      <c r="G35" s="297"/>
      <c r="H35" s="297"/>
      <c r="I35" s="297"/>
      <c r="J35" s="298"/>
      <c r="K35" s="298"/>
      <c r="L35" s="297"/>
      <c r="M35" s="297"/>
      <c r="N35" s="652"/>
      <c r="O35" s="297"/>
      <c r="P35" s="297"/>
      <c r="Q35" s="297"/>
      <c r="R35" s="297"/>
      <c r="S35" s="298"/>
      <c r="T35" s="297"/>
      <c r="U35" s="299"/>
      <c r="V35" s="300"/>
      <c r="W35" s="136"/>
      <c r="X35" s="301"/>
    </row>
    <row r="36" spans="2:24" ht="21.95" customHeight="1">
      <c r="B36" s="310">
        <f t="shared" si="0"/>
        <v>26</v>
      </c>
      <c r="C36" s="312" t="s">
        <v>327</v>
      </c>
      <c r="D36" s="655">
        <v>1</v>
      </c>
      <c r="E36" s="636">
        <f t="shared" si="1"/>
        <v>3.544</v>
      </c>
      <c r="F36" s="296"/>
      <c r="G36" s="297"/>
      <c r="H36" s="297"/>
      <c r="I36" s="297"/>
      <c r="J36" s="298"/>
      <c r="K36" s="298"/>
      <c r="L36" s="297"/>
      <c r="M36" s="297"/>
      <c r="N36" s="652"/>
      <c r="O36" s="297"/>
      <c r="P36" s="297"/>
      <c r="Q36" s="297"/>
      <c r="R36" s="297"/>
      <c r="S36" s="298"/>
      <c r="T36" s="297"/>
      <c r="U36" s="299"/>
      <c r="V36" s="300"/>
      <c r="W36" s="136"/>
      <c r="X36" s="301"/>
    </row>
    <row r="37" spans="2:24" ht="21.95" customHeight="1">
      <c r="B37" s="310">
        <f t="shared" si="0"/>
        <v>27</v>
      </c>
      <c r="C37" s="312" t="s">
        <v>269</v>
      </c>
      <c r="D37" s="655">
        <f>F37+I37+L37+O37+R37</f>
        <v>2</v>
      </c>
      <c r="E37" s="636">
        <f t="shared" si="1"/>
        <v>7.088</v>
      </c>
      <c r="F37" s="296"/>
      <c r="G37" s="297"/>
      <c r="H37" s="297"/>
      <c r="I37" s="297"/>
      <c r="J37" s="298"/>
      <c r="K37" s="298"/>
      <c r="L37" s="297">
        <v>2</v>
      </c>
      <c r="M37" s="297">
        <v>1.9</v>
      </c>
      <c r="N37" s="653" t="s">
        <v>455</v>
      </c>
      <c r="O37" s="297"/>
      <c r="P37" s="297"/>
      <c r="Q37" s="297"/>
      <c r="R37" s="297"/>
      <c r="S37" s="298"/>
      <c r="T37" s="297"/>
      <c r="U37" s="299"/>
      <c r="V37" s="300"/>
      <c r="W37" s="136"/>
      <c r="X37" s="301"/>
    </row>
    <row r="38" spans="2:24" ht="21.95" customHeight="1">
      <c r="B38" s="310">
        <f t="shared" si="0"/>
        <v>28</v>
      </c>
      <c r="C38" s="312" t="s">
        <v>326</v>
      </c>
      <c r="D38" s="655">
        <v>1</v>
      </c>
      <c r="E38" s="636">
        <f t="shared" si="1"/>
        <v>3.544</v>
      </c>
      <c r="F38" s="296"/>
      <c r="G38" s="297"/>
      <c r="H38" s="297"/>
      <c r="I38" s="297"/>
      <c r="J38" s="298"/>
      <c r="K38" s="298"/>
      <c r="L38" s="297"/>
      <c r="M38" s="297"/>
      <c r="N38" s="652"/>
      <c r="O38" s="297"/>
      <c r="P38" s="297"/>
      <c r="Q38" s="297"/>
      <c r="R38" s="297"/>
      <c r="S38" s="298"/>
      <c r="T38" s="297"/>
      <c r="U38" s="299"/>
      <c r="V38" s="300"/>
      <c r="W38" s="136"/>
      <c r="X38" s="301"/>
    </row>
    <row r="39" spans="2:24" ht="21.95" customHeight="1">
      <c r="B39" s="310">
        <f t="shared" si="0"/>
        <v>29</v>
      </c>
      <c r="C39" s="312" t="s">
        <v>140</v>
      </c>
      <c r="D39" s="655">
        <v>1</v>
      </c>
      <c r="E39" s="636">
        <f t="shared" si="1"/>
        <v>3.544</v>
      </c>
      <c r="F39" s="296"/>
      <c r="G39" s="297"/>
      <c r="H39" s="297"/>
      <c r="I39" s="297"/>
      <c r="J39" s="298"/>
      <c r="K39" s="298"/>
      <c r="L39" s="297"/>
      <c r="M39" s="297"/>
      <c r="N39" s="652"/>
      <c r="O39" s="297"/>
      <c r="P39" s="297"/>
      <c r="Q39" s="297"/>
      <c r="R39" s="297"/>
      <c r="S39" s="298"/>
      <c r="T39" s="297"/>
      <c r="U39" s="299"/>
      <c r="V39" s="300"/>
      <c r="W39" s="136"/>
      <c r="X39" s="301"/>
    </row>
    <row r="40" spans="2:24" ht="21.95" customHeight="1">
      <c r="B40" s="310">
        <f t="shared" si="0"/>
        <v>30</v>
      </c>
      <c r="C40" s="312" t="s">
        <v>328</v>
      </c>
      <c r="D40" s="655">
        <v>1</v>
      </c>
      <c r="E40" s="636">
        <f t="shared" si="1"/>
        <v>3.544</v>
      </c>
      <c r="F40" s="296"/>
      <c r="G40" s="297"/>
      <c r="H40" s="297"/>
      <c r="I40" s="297"/>
      <c r="J40" s="298"/>
      <c r="K40" s="298"/>
      <c r="L40" s="297"/>
      <c r="M40" s="297"/>
      <c r="N40" s="652"/>
      <c r="O40" s="297"/>
      <c r="P40" s="297"/>
      <c r="Q40" s="297"/>
      <c r="R40" s="297"/>
      <c r="S40" s="298"/>
      <c r="T40" s="297"/>
      <c r="U40" s="299"/>
      <c r="V40" s="300"/>
      <c r="W40" s="136"/>
      <c r="X40" s="301"/>
    </row>
    <row r="41" spans="2:24" ht="21.95" customHeight="1">
      <c r="B41" s="310">
        <f t="shared" si="0"/>
        <v>31</v>
      </c>
      <c r="C41" s="312" t="s">
        <v>91</v>
      </c>
      <c r="D41" s="655">
        <v>1</v>
      </c>
      <c r="E41" s="636">
        <f t="shared" si="1"/>
        <v>3.544</v>
      </c>
      <c r="F41" s="296"/>
      <c r="G41" s="297"/>
      <c r="H41" s="297"/>
      <c r="I41" s="297"/>
      <c r="J41" s="298"/>
      <c r="K41" s="298"/>
      <c r="L41" s="297"/>
      <c r="M41" s="297"/>
      <c r="N41" s="652"/>
      <c r="O41" s="297"/>
      <c r="P41" s="297"/>
      <c r="Q41" s="297"/>
      <c r="R41" s="297"/>
      <c r="S41" s="298"/>
      <c r="T41" s="297"/>
      <c r="U41" s="299"/>
      <c r="V41" s="300"/>
      <c r="W41" s="136"/>
      <c r="X41" s="301"/>
    </row>
    <row r="42" spans="2:24" ht="21.95" customHeight="1">
      <c r="B42" s="310">
        <f t="shared" si="0"/>
        <v>32</v>
      </c>
      <c r="C42" s="312" t="s">
        <v>311</v>
      </c>
      <c r="D42" s="655">
        <v>1</v>
      </c>
      <c r="E42" s="636">
        <f t="shared" si="1"/>
        <v>3.544</v>
      </c>
      <c r="F42" s="296"/>
      <c r="G42" s="297"/>
      <c r="H42" s="297"/>
      <c r="I42" s="297"/>
      <c r="J42" s="298"/>
      <c r="K42" s="298"/>
      <c r="L42" s="297"/>
      <c r="M42" s="297"/>
      <c r="N42" s="652"/>
      <c r="O42" s="297"/>
      <c r="P42" s="297"/>
      <c r="Q42" s="297"/>
      <c r="R42" s="297"/>
      <c r="S42" s="298"/>
      <c r="T42" s="297"/>
      <c r="U42" s="299"/>
      <c r="V42" s="300"/>
      <c r="W42" s="136"/>
      <c r="X42" s="301"/>
    </row>
    <row r="43" spans="2:24" ht="21.95" customHeight="1">
      <c r="B43" s="310">
        <f t="shared" si="0"/>
        <v>33</v>
      </c>
      <c r="C43" s="312" t="s">
        <v>310</v>
      </c>
      <c r="D43" s="655">
        <v>1</v>
      </c>
      <c r="E43" s="636">
        <f t="shared" si="1"/>
        <v>3.544</v>
      </c>
      <c r="F43" s="296"/>
      <c r="G43" s="297"/>
      <c r="H43" s="297"/>
      <c r="I43" s="297"/>
      <c r="J43" s="298"/>
      <c r="K43" s="298"/>
      <c r="L43" s="297"/>
      <c r="M43" s="297"/>
      <c r="N43" s="652"/>
      <c r="O43" s="297"/>
      <c r="P43" s="297"/>
      <c r="Q43" s="297"/>
      <c r="R43" s="297"/>
      <c r="S43" s="298"/>
      <c r="T43" s="297"/>
      <c r="U43" s="299"/>
      <c r="V43" s="300"/>
      <c r="W43" s="136"/>
      <c r="X43" s="301"/>
    </row>
    <row r="44" spans="2:24" ht="21.95" customHeight="1">
      <c r="B44" s="310">
        <f t="shared" si="0"/>
        <v>34</v>
      </c>
      <c r="C44" s="312" t="s">
        <v>174</v>
      </c>
      <c r="D44" s="655">
        <f>F44+I44+L44+O44+R44</f>
        <v>1</v>
      </c>
      <c r="E44" s="636">
        <f t="shared" si="1"/>
        <v>3.544</v>
      </c>
      <c r="F44" s="296"/>
      <c r="G44" s="297"/>
      <c r="H44" s="297"/>
      <c r="I44" s="297"/>
      <c r="J44" s="298"/>
      <c r="K44" s="298"/>
      <c r="L44" s="297"/>
      <c r="M44" s="297"/>
      <c r="N44" s="652"/>
      <c r="O44" s="297"/>
      <c r="P44" s="297"/>
      <c r="Q44" s="297"/>
      <c r="R44" s="297">
        <v>1</v>
      </c>
      <c r="S44" s="298"/>
      <c r="T44" s="297"/>
      <c r="U44" s="299"/>
      <c r="V44" s="300"/>
      <c r="W44" s="136"/>
      <c r="X44" s="301"/>
    </row>
    <row r="45" spans="2:24" ht="21.95" customHeight="1">
      <c r="B45" s="310">
        <f t="shared" si="0"/>
        <v>35</v>
      </c>
      <c r="C45" s="312" t="s">
        <v>668</v>
      </c>
      <c r="D45" s="655">
        <v>1</v>
      </c>
      <c r="E45" s="636">
        <f t="shared" si="1"/>
        <v>3.544</v>
      </c>
      <c r="F45" s="296"/>
      <c r="G45" s="297"/>
      <c r="H45" s="297"/>
      <c r="I45" s="297"/>
      <c r="J45" s="298"/>
      <c r="K45" s="298"/>
      <c r="L45" s="297"/>
      <c r="M45" s="297"/>
      <c r="N45" s="652"/>
      <c r="O45" s="297"/>
      <c r="P45" s="297"/>
      <c r="Q45" s="297"/>
      <c r="R45" s="297"/>
      <c r="S45" s="298"/>
      <c r="T45" s="297"/>
      <c r="U45" s="299"/>
      <c r="V45" s="300"/>
      <c r="W45" s="136"/>
      <c r="X45" s="301"/>
    </row>
    <row r="46" spans="2:24" ht="21.95" customHeight="1">
      <c r="B46" s="310">
        <f t="shared" si="0"/>
        <v>36</v>
      </c>
      <c r="C46" s="312" t="s">
        <v>329</v>
      </c>
      <c r="D46" s="655">
        <v>1</v>
      </c>
      <c r="E46" s="636">
        <f t="shared" si="1"/>
        <v>3.544</v>
      </c>
      <c r="F46" s="296"/>
      <c r="G46" s="297"/>
      <c r="H46" s="297"/>
      <c r="I46" s="297"/>
      <c r="J46" s="298"/>
      <c r="K46" s="298"/>
      <c r="L46" s="297"/>
      <c r="M46" s="297"/>
      <c r="N46" s="652"/>
      <c r="O46" s="297"/>
      <c r="P46" s="297"/>
      <c r="Q46" s="297"/>
      <c r="R46" s="297"/>
      <c r="S46" s="298"/>
      <c r="T46" s="297"/>
      <c r="U46" s="299"/>
      <c r="V46" s="300"/>
      <c r="W46" s="136"/>
      <c r="X46" s="301"/>
    </row>
    <row r="47" spans="2:24" ht="21.95" customHeight="1" thickBot="1">
      <c r="B47" s="310">
        <f t="shared" si="0"/>
        <v>37</v>
      </c>
      <c r="C47" s="312" t="s">
        <v>175</v>
      </c>
      <c r="D47" s="655">
        <v>1</v>
      </c>
      <c r="E47" s="636">
        <f t="shared" si="1"/>
        <v>3.544</v>
      </c>
      <c r="F47" s="296"/>
      <c r="G47" s="297"/>
      <c r="H47" s="297"/>
      <c r="I47" s="297"/>
      <c r="J47" s="298"/>
      <c r="K47" s="298"/>
      <c r="L47" s="297"/>
      <c r="M47" s="297"/>
      <c r="N47" s="652"/>
      <c r="O47" s="297"/>
      <c r="P47" s="297"/>
      <c r="Q47" s="297"/>
      <c r="R47" s="297"/>
      <c r="S47" s="298"/>
      <c r="T47" s="297"/>
      <c r="U47" s="299"/>
      <c r="V47" s="300"/>
      <c r="W47" s="136"/>
      <c r="X47" s="301"/>
    </row>
    <row r="48" spans="2:24" ht="21.95" customHeight="1" thickBot="1">
      <c r="B48" s="308"/>
      <c r="C48" s="309" t="s">
        <v>142</v>
      </c>
      <c r="D48" s="656">
        <f>SUM(D11:D47)</f>
        <v>49</v>
      </c>
      <c r="E48" s="637">
        <f>SUM(E11:E47)</f>
        <v>173.65600000000006</v>
      </c>
      <c r="F48" s="638">
        <f>SUM(F10:F47)</f>
        <v>4</v>
      </c>
      <c r="G48" s="639" t="e">
        <f>SUM(#REF!)</f>
        <v>#REF!</v>
      </c>
      <c r="H48" s="639"/>
      <c r="I48" s="639">
        <f>SUM(I11:I47)</f>
        <v>10</v>
      </c>
      <c r="J48" s="639" t="e">
        <f>SUM(#REF!)</f>
        <v>#REF!</v>
      </c>
      <c r="K48" s="639"/>
      <c r="L48" s="639">
        <f>SUM(L17:L47)</f>
        <v>2</v>
      </c>
      <c r="M48" s="639" t="e">
        <f>SUM(#REF!)</f>
        <v>#REF!</v>
      </c>
      <c r="N48" s="639"/>
      <c r="O48" s="639" t="e">
        <f>SUM(#REF!)</f>
        <v>#REF!</v>
      </c>
      <c r="P48" s="639" t="e">
        <f>SUM(#REF!)</f>
        <v>#REF!</v>
      </c>
      <c r="Q48" s="639"/>
      <c r="R48" s="639">
        <f>SUM(R17:R47)</f>
        <v>1</v>
      </c>
      <c r="S48" s="639" t="e">
        <f>SUM(#REF!)</f>
        <v>#REF!</v>
      </c>
      <c r="T48" s="639" t="e">
        <f>SUM(#REF!)</f>
        <v>#REF!</v>
      </c>
      <c r="U48" s="639" t="e">
        <f>SUM(#REF!)</f>
        <v>#REF!</v>
      </c>
      <c r="V48" s="640" t="e">
        <f>SUM(#REF!)</f>
        <v>#REF!</v>
      </c>
      <c r="W48" s="640" t="e">
        <f>SUM(#REF!)</f>
        <v>#REF!</v>
      </c>
      <c r="X48" s="641"/>
    </row>
    <row r="49" spans="3:24" ht="12.75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V49" s="302"/>
      <c r="W49" s="302"/>
      <c r="X49" s="303"/>
    </row>
    <row r="50" spans="3:24" ht="12.75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V50" s="302"/>
      <c r="W50" s="302"/>
      <c r="X50" s="303"/>
    </row>
    <row r="51" spans="3:24" ht="12.75">
      <c r="C51" s="20" t="s">
        <v>95</v>
      </c>
      <c r="D51" s="20" t="s">
        <v>143</v>
      </c>
      <c r="E51" s="20"/>
      <c r="F51" s="20"/>
      <c r="G51" s="20"/>
      <c r="H51" s="20"/>
      <c r="I51" s="20"/>
      <c r="J51" s="20" t="s">
        <v>38</v>
      </c>
      <c r="K51" s="20"/>
      <c r="L51" s="20"/>
      <c r="M51" s="20"/>
      <c r="N51" s="20"/>
      <c r="O51" s="20"/>
      <c r="P51" s="20"/>
      <c r="Q51" s="20"/>
      <c r="V51" s="302"/>
      <c r="W51" s="302"/>
      <c r="X51" s="303"/>
    </row>
  </sheetData>
  <mergeCells count="18">
    <mergeCell ref="F7:G8"/>
    <mergeCell ref="I7:J8"/>
    <mergeCell ref="L7:M7"/>
    <mergeCell ref="O7:P8"/>
    <mergeCell ref="L6:M6"/>
    <mergeCell ref="O6:P6"/>
    <mergeCell ref="C2:E2"/>
    <mergeCell ref="B4:E4"/>
    <mergeCell ref="B5:E5"/>
    <mergeCell ref="B7:B9"/>
    <mergeCell ref="C7:C9"/>
    <mergeCell ref="D7:D8"/>
    <mergeCell ref="E7:E8"/>
    <mergeCell ref="R6:S6"/>
    <mergeCell ref="R7:S8"/>
    <mergeCell ref="U7:U9"/>
    <mergeCell ref="V7:X8"/>
    <mergeCell ref="L8:M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2:Y37"/>
  <sheetViews>
    <sheetView workbookViewId="0" topLeftCell="A1">
      <pane xSplit="3" ySplit="13" topLeftCell="D35" activePane="bottomRight" state="frozen"/>
      <selection pane="topRight" activeCell="D1" sqref="D1"/>
      <selection pane="bottomLeft" activeCell="A13" sqref="A13"/>
      <selection pane="bottomRight" activeCell="H51" sqref="H51"/>
    </sheetView>
  </sheetViews>
  <sheetFormatPr defaultColWidth="9.00390625" defaultRowHeight="12.75"/>
  <cols>
    <col min="2" max="2" width="5.00390625" style="0" customWidth="1"/>
    <col min="3" max="3" width="23.75390625" style="0" customWidth="1"/>
    <col min="4" max="4" width="8.00390625" style="0" customWidth="1"/>
    <col min="5" max="5" width="10.875" style="0" customWidth="1"/>
    <col min="6" max="6" width="7.125" style="0" customWidth="1"/>
    <col min="7" max="7" width="10.125" style="0" customWidth="1"/>
    <col min="8" max="8" width="7.75390625" style="0" customWidth="1"/>
    <col min="9" max="9" width="7.875" style="0" hidden="1" customWidth="1"/>
    <col min="10" max="10" width="10.25390625" style="0" customWidth="1"/>
    <col min="11" max="14" width="9.00390625" style="0" hidden="1" customWidth="1"/>
    <col min="15" max="15" width="31.625" style="0" customWidth="1"/>
    <col min="16" max="21" width="9.00390625" style="0" hidden="1" customWidth="1"/>
    <col min="22" max="22" width="12.00390625" style="0" hidden="1" customWidth="1"/>
    <col min="23" max="23" width="13.625" style="0" hidden="1" customWidth="1"/>
  </cols>
  <sheetData>
    <row r="2" ht="12.75">
      <c r="H2" s="31"/>
    </row>
    <row r="3" spans="2:15" ht="15.75">
      <c r="B3" s="29"/>
      <c r="C3" s="29"/>
      <c r="D3" s="29"/>
      <c r="E3" s="29"/>
      <c r="F3" s="29"/>
      <c r="G3" s="29"/>
      <c r="H3" s="396"/>
      <c r="I3" s="29"/>
      <c r="J3" s="29"/>
      <c r="K3" s="2086" t="s">
        <v>40</v>
      </c>
      <c r="L3" s="2086"/>
      <c r="M3" s="2086"/>
      <c r="N3" s="2086"/>
      <c r="O3" s="2086"/>
    </row>
    <row r="4" spans="2:17" ht="15.75">
      <c r="B4" s="29"/>
      <c r="C4" s="29"/>
      <c r="D4" s="348"/>
      <c r="E4" s="348"/>
      <c r="F4" s="348"/>
      <c r="G4" s="348"/>
      <c r="H4" s="402"/>
      <c r="I4" s="348"/>
      <c r="J4" s="348"/>
      <c r="K4" s="2086" t="s">
        <v>1</v>
      </c>
      <c r="L4" s="2086"/>
      <c r="M4" s="2086"/>
      <c r="N4" s="2086"/>
      <c r="O4" s="2086"/>
      <c r="P4" s="822"/>
      <c r="Q4" s="822"/>
    </row>
    <row r="5" spans="2:17" ht="15.75">
      <c r="B5" s="29"/>
      <c r="C5" s="29"/>
      <c r="D5" s="30"/>
      <c r="E5" s="30"/>
      <c r="F5" s="30"/>
      <c r="G5" s="30"/>
      <c r="H5" s="396"/>
      <c r="I5" s="30"/>
      <c r="J5" s="30"/>
      <c r="K5" s="2087" t="s">
        <v>2</v>
      </c>
      <c r="L5" s="2087"/>
      <c r="M5" s="2087"/>
      <c r="N5" s="2087"/>
      <c r="O5" s="2087"/>
      <c r="P5" s="822"/>
      <c r="Q5" s="822"/>
    </row>
    <row r="6" spans="2:17" ht="15.75">
      <c r="B6" s="29"/>
      <c r="C6" s="29"/>
      <c r="D6" s="30"/>
      <c r="E6" s="30"/>
      <c r="F6" s="30"/>
      <c r="G6" s="30"/>
      <c r="H6" s="396"/>
      <c r="I6" s="30"/>
      <c r="J6" s="30"/>
      <c r="K6" s="2087" t="s">
        <v>236</v>
      </c>
      <c r="L6" s="2087"/>
      <c r="M6" s="2087"/>
      <c r="N6" s="2087"/>
      <c r="O6" s="2087"/>
      <c r="P6" s="822"/>
      <c r="Q6" s="822"/>
    </row>
    <row r="7" spans="2:17" ht="15.75">
      <c r="B7" s="29"/>
      <c r="C7" s="29"/>
      <c r="D7" s="29"/>
      <c r="E7" s="29"/>
      <c r="F7" s="29"/>
      <c r="G7" s="29"/>
      <c r="H7" s="396"/>
      <c r="I7" s="29"/>
      <c r="J7" s="29"/>
      <c r="K7" s="29"/>
      <c r="L7" s="29"/>
      <c r="M7" s="29"/>
      <c r="N7" s="29"/>
      <c r="O7" s="29"/>
      <c r="P7" s="29"/>
      <c r="Q7" s="29"/>
    </row>
    <row r="8" spans="2:21" ht="15.75" customHeight="1">
      <c r="B8" s="1946" t="s">
        <v>300</v>
      </c>
      <c r="C8" s="1946"/>
      <c r="D8" s="1946"/>
      <c r="E8" s="1946"/>
      <c r="F8" s="1946"/>
      <c r="G8" s="1946"/>
      <c r="H8" s="1946"/>
      <c r="I8" s="1946"/>
      <c r="J8" s="1946"/>
      <c r="K8" s="1946"/>
      <c r="L8" s="1946"/>
      <c r="M8" s="1946"/>
      <c r="N8" s="1946"/>
      <c r="O8" s="1946"/>
      <c r="P8" s="820"/>
      <c r="Q8" s="820"/>
      <c r="R8" s="264"/>
      <c r="S8" s="264"/>
      <c r="T8" s="264"/>
      <c r="U8" s="264"/>
    </row>
    <row r="9" spans="2:21" ht="15.75">
      <c r="B9" s="1946"/>
      <c r="C9" s="1946"/>
      <c r="D9" s="1946"/>
      <c r="E9" s="1946"/>
      <c r="F9" s="1946"/>
      <c r="G9" s="1946"/>
      <c r="H9" s="1946"/>
      <c r="I9" s="1946"/>
      <c r="J9" s="1946"/>
      <c r="K9" s="1946"/>
      <c r="L9" s="1946"/>
      <c r="M9" s="1946"/>
      <c r="N9" s="1946"/>
      <c r="O9" s="1946"/>
      <c r="P9" s="821"/>
      <c r="Q9" s="821"/>
      <c r="R9" s="264"/>
      <c r="S9" s="264"/>
      <c r="T9" s="264"/>
      <c r="U9" s="264"/>
    </row>
    <row r="10" spans="2:21" ht="16.5" thickBot="1">
      <c r="B10" s="835"/>
      <c r="C10" s="835"/>
      <c r="D10" s="835"/>
      <c r="E10" s="835"/>
      <c r="F10" s="835"/>
      <c r="G10" s="835"/>
      <c r="H10" s="835"/>
      <c r="I10" s="835"/>
      <c r="J10" s="835"/>
      <c r="K10" s="840"/>
      <c r="L10" s="840"/>
      <c r="M10" s="840"/>
      <c r="N10" s="840"/>
      <c r="O10" s="835"/>
      <c r="P10" s="842"/>
      <c r="Q10" s="842"/>
      <c r="R10" s="264"/>
      <c r="S10" s="264"/>
      <c r="T10" s="264"/>
      <c r="U10" s="264"/>
    </row>
    <row r="11" spans="2:23" ht="15" thickBot="1">
      <c r="B11" s="2125" t="s">
        <v>44</v>
      </c>
      <c r="C11" s="2128" t="s">
        <v>6</v>
      </c>
      <c r="D11" s="2131" t="s">
        <v>237</v>
      </c>
      <c r="E11" s="2134" t="s">
        <v>238</v>
      </c>
      <c r="F11" s="2137" t="s">
        <v>239</v>
      </c>
      <c r="G11" s="2116" t="s">
        <v>238</v>
      </c>
      <c r="H11" s="2119" t="s">
        <v>240</v>
      </c>
      <c r="I11" s="2122" t="s">
        <v>241</v>
      </c>
      <c r="J11" s="2116" t="s">
        <v>238</v>
      </c>
      <c r="K11" s="2107" t="s">
        <v>242</v>
      </c>
      <c r="L11" s="2108"/>
      <c r="M11" s="2107" t="s">
        <v>243</v>
      </c>
      <c r="N11" s="2109"/>
      <c r="O11" s="2111" t="s">
        <v>132</v>
      </c>
      <c r="P11" s="2114" t="s">
        <v>248</v>
      </c>
      <c r="Q11" s="2115"/>
      <c r="R11" s="2115"/>
      <c r="S11" s="2115"/>
      <c r="T11" s="2115"/>
      <c r="U11" s="2088" t="s">
        <v>49</v>
      </c>
      <c r="V11" s="2091" t="s">
        <v>272</v>
      </c>
      <c r="W11" s="2094" t="s">
        <v>134</v>
      </c>
    </row>
    <row r="12" spans="2:23" ht="14.25">
      <c r="B12" s="2126"/>
      <c r="C12" s="2129"/>
      <c r="D12" s="2132"/>
      <c r="E12" s="2135"/>
      <c r="F12" s="2138"/>
      <c r="G12" s="2117"/>
      <c r="H12" s="2120"/>
      <c r="I12" s="2123"/>
      <c r="J12" s="2117"/>
      <c r="K12" s="2097" t="s">
        <v>129</v>
      </c>
      <c r="L12" s="2099" t="s">
        <v>244</v>
      </c>
      <c r="M12" s="2101" t="s">
        <v>129</v>
      </c>
      <c r="N12" s="2103" t="s">
        <v>244</v>
      </c>
      <c r="O12" s="2112"/>
      <c r="P12" s="2105" t="s">
        <v>47</v>
      </c>
      <c r="Q12" s="2106"/>
      <c r="R12" s="2106" t="s">
        <v>20</v>
      </c>
      <c r="S12" s="2106"/>
      <c r="T12" s="2089" t="s">
        <v>156</v>
      </c>
      <c r="U12" s="2089"/>
      <c r="V12" s="2092"/>
      <c r="W12" s="2095"/>
    </row>
    <row r="13" spans="2:23" ht="15" thickBot="1">
      <c r="B13" s="2127"/>
      <c r="C13" s="2130"/>
      <c r="D13" s="2133"/>
      <c r="E13" s="2136"/>
      <c r="F13" s="2139"/>
      <c r="G13" s="2118"/>
      <c r="H13" s="2121"/>
      <c r="I13" s="2124"/>
      <c r="J13" s="2118"/>
      <c r="K13" s="2098"/>
      <c r="L13" s="2100"/>
      <c r="M13" s="2102"/>
      <c r="N13" s="2104"/>
      <c r="O13" s="2113"/>
      <c r="P13" s="439" t="s">
        <v>145</v>
      </c>
      <c r="Q13" s="436" t="s">
        <v>245</v>
      </c>
      <c r="R13" s="436" t="s">
        <v>145</v>
      </c>
      <c r="S13" s="436" t="s">
        <v>245</v>
      </c>
      <c r="T13" s="2090"/>
      <c r="U13" s="2090"/>
      <c r="V13" s="2093"/>
      <c r="W13" s="2096"/>
    </row>
    <row r="14" spans="2:23" ht="10.5" customHeight="1">
      <c r="B14" s="403"/>
      <c r="C14" s="818"/>
      <c r="D14" s="444"/>
      <c r="E14" s="446"/>
      <c r="F14" s="448"/>
      <c r="G14" s="449"/>
      <c r="H14" s="447"/>
      <c r="I14" s="432"/>
      <c r="J14" s="445"/>
      <c r="K14" s="443"/>
      <c r="L14" s="438"/>
      <c r="M14" s="448"/>
      <c r="N14" s="450"/>
      <c r="O14" s="442"/>
      <c r="P14" s="440"/>
      <c r="Q14" s="433"/>
      <c r="R14" s="433"/>
      <c r="S14" s="433"/>
      <c r="T14" s="434"/>
      <c r="U14" s="434"/>
      <c r="V14" s="437"/>
      <c r="W14" s="435"/>
    </row>
    <row r="15" spans="2:25" ht="21" customHeight="1">
      <c r="B15" s="404">
        <v>1</v>
      </c>
      <c r="C15" s="469" t="s">
        <v>26</v>
      </c>
      <c r="D15" s="470"/>
      <c r="E15" s="579">
        <f aca="true" t="shared" si="0" ref="E15:E24">D15*17.145</f>
        <v>0</v>
      </c>
      <c r="F15" s="613"/>
      <c r="G15" s="581">
        <f aca="true" t="shared" si="1" ref="G15:G23">F15*13.16</f>
        <v>0</v>
      </c>
      <c r="H15" s="607">
        <v>2</v>
      </c>
      <c r="I15" s="586"/>
      <c r="J15" s="584">
        <f aca="true" t="shared" si="2" ref="J15:J23">H15*13.388</f>
        <v>26.776</v>
      </c>
      <c r="K15" s="587"/>
      <c r="L15" s="588"/>
      <c r="M15" s="589"/>
      <c r="N15" s="590"/>
      <c r="O15" s="668" t="s">
        <v>339</v>
      </c>
      <c r="P15" s="454"/>
      <c r="Q15" s="455"/>
      <c r="R15" s="455"/>
      <c r="S15" s="455"/>
      <c r="T15" s="455"/>
      <c r="U15" s="455"/>
      <c r="V15" s="456"/>
      <c r="W15" s="457" t="s">
        <v>256</v>
      </c>
      <c r="X15" s="458"/>
      <c r="Y15" s="453"/>
    </row>
    <row r="16" spans="2:25" ht="21" customHeight="1">
      <c r="B16" s="404">
        <v>2</v>
      </c>
      <c r="C16" s="407" t="s">
        <v>27</v>
      </c>
      <c r="D16" s="406"/>
      <c r="E16" s="579">
        <f t="shared" si="0"/>
        <v>0</v>
      </c>
      <c r="F16" s="612"/>
      <c r="G16" s="581">
        <f t="shared" si="1"/>
        <v>0</v>
      </c>
      <c r="H16" s="606">
        <v>1</v>
      </c>
      <c r="I16" s="583"/>
      <c r="J16" s="584">
        <f t="shared" si="2"/>
        <v>13.388</v>
      </c>
      <c r="K16" s="582"/>
      <c r="L16" s="585"/>
      <c r="M16" s="580"/>
      <c r="N16" s="584"/>
      <c r="O16" s="667" t="s">
        <v>396</v>
      </c>
      <c r="P16" s="408"/>
      <c r="Q16" s="430"/>
      <c r="R16" s="459"/>
      <c r="S16" s="459"/>
      <c r="T16" s="430"/>
      <c r="U16" s="460"/>
      <c r="V16" s="451"/>
      <c r="W16" s="452"/>
      <c r="X16" s="453"/>
      <c r="Y16" s="453"/>
    </row>
    <row r="17" spans="2:25" ht="21" customHeight="1">
      <c r="B17" s="404">
        <v>3</v>
      </c>
      <c r="C17" s="469" t="s">
        <v>118</v>
      </c>
      <c r="D17" s="470"/>
      <c r="E17" s="579">
        <f t="shared" si="0"/>
        <v>0</v>
      </c>
      <c r="F17" s="614"/>
      <c r="G17" s="581">
        <f t="shared" si="1"/>
        <v>0</v>
      </c>
      <c r="H17" s="608">
        <v>2</v>
      </c>
      <c r="I17" s="586"/>
      <c r="J17" s="584">
        <f t="shared" si="2"/>
        <v>26.776</v>
      </c>
      <c r="K17" s="591"/>
      <c r="L17" s="592"/>
      <c r="M17" s="593"/>
      <c r="N17" s="594"/>
      <c r="O17" s="595" t="s">
        <v>157</v>
      </c>
      <c r="P17" s="461"/>
      <c r="Q17" s="462"/>
      <c r="R17" s="462"/>
      <c r="S17" s="462"/>
      <c r="T17" s="462"/>
      <c r="U17" s="462"/>
      <c r="V17" s="463"/>
      <c r="W17" s="464" t="s">
        <v>249</v>
      </c>
      <c r="X17" s="458"/>
      <c r="Y17" s="453"/>
    </row>
    <row r="18" spans="2:25" ht="21" customHeight="1">
      <c r="B18" s="404">
        <v>4</v>
      </c>
      <c r="C18" s="469" t="s">
        <v>29</v>
      </c>
      <c r="D18" s="471"/>
      <c r="E18" s="579">
        <f t="shared" si="0"/>
        <v>0</v>
      </c>
      <c r="F18" s="615"/>
      <c r="G18" s="581">
        <f t="shared" si="1"/>
        <v>0</v>
      </c>
      <c r="H18" s="608">
        <v>2</v>
      </c>
      <c r="I18" s="586"/>
      <c r="J18" s="584">
        <f t="shared" si="2"/>
        <v>26.776</v>
      </c>
      <c r="K18" s="591"/>
      <c r="L18" s="592"/>
      <c r="M18" s="593"/>
      <c r="N18" s="594"/>
      <c r="O18" s="595" t="s">
        <v>157</v>
      </c>
      <c r="P18" s="461"/>
      <c r="Q18" s="462"/>
      <c r="R18" s="462"/>
      <c r="S18" s="462"/>
      <c r="T18" s="462"/>
      <c r="U18" s="462"/>
      <c r="V18" s="463"/>
      <c r="W18" s="464" t="s">
        <v>249</v>
      </c>
      <c r="X18" s="458"/>
      <c r="Y18" s="453"/>
    </row>
    <row r="19" spans="2:25" ht="21" customHeight="1">
      <c r="B19" s="404">
        <v>5</v>
      </c>
      <c r="C19" s="469" t="s">
        <v>498</v>
      </c>
      <c r="D19" s="470">
        <v>1</v>
      </c>
      <c r="E19" s="579">
        <f t="shared" si="0"/>
        <v>17.145</v>
      </c>
      <c r="F19" s="615"/>
      <c r="G19" s="581">
        <f t="shared" si="1"/>
        <v>0</v>
      </c>
      <c r="H19" s="608"/>
      <c r="I19" s="586"/>
      <c r="J19" s="584">
        <f t="shared" si="2"/>
        <v>0</v>
      </c>
      <c r="K19" s="591"/>
      <c r="L19" s="592"/>
      <c r="M19" s="593"/>
      <c r="N19" s="594"/>
      <c r="O19" s="595" t="s">
        <v>536</v>
      </c>
      <c r="P19" s="461"/>
      <c r="Q19" s="462"/>
      <c r="R19" s="462"/>
      <c r="S19" s="462"/>
      <c r="T19" s="462"/>
      <c r="U19" s="462"/>
      <c r="V19" s="463"/>
      <c r="W19" s="464" t="s">
        <v>249</v>
      </c>
      <c r="X19" s="458"/>
      <c r="Y19" s="453"/>
    </row>
    <row r="20" spans="2:25" ht="21" customHeight="1">
      <c r="B20" s="404">
        <v>6</v>
      </c>
      <c r="C20" s="469" t="s">
        <v>316</v>
      </c>
      <c r="D20" s="470">
        <v>1</v>
      </c>
      <c r="E20" s="579">
        <f t="shared" si="0"/>
        <v>17.145</v>
      </c>
      <c r="F20" s="614"/>
      <c r="G20" s="581">
        <f t="shared" si="1"/>
        <v>0</v>
      </c>
      <c r="H20" s="608"/>
      <c r="I20" s="586"/>
      <c r="J20" s="584">
        <f t="shared" si="2"/>
        <v>0</v>
      </c>
      <c r="K20" s="591"/>
      <c r="L20" s="592"/>
      <c r="M20" s="593"/>
      <c r="N20" s="594"/>
      <c r="O20" s="595" t="s">
        <v>157</v>
      </c>
      <c r="P20" s="461"/>
      <c r="Q20" s="462"/>
      <c r="R20" s="462"/>
      <c r="S20" s="462"/>
      <c r="T20" s="462"/>
      <c r="U20" s="462"/>
      <c r="V20" s="463"/>
      <c r="W20" s="464" t="s">
        <v>249</v>
      </c>
      <c r="X20" s="458"/>
      <c r="Y20" s="453"/>
    </row>
    <row r="21" spans="2:25" ht="21" customHeight="1">
      <c r="B21" s="404">
        <v>7</v>
      </c>
      <c r="C21" s="469" t="s">
        <v>573</v>
      </c>
      <c r="D21" s="470">
        <v>2</v>
      </c>
      <c r="E21" s="579">
        <f t="shared" si="0"/>
        <v>34.29</v>
      </c>
      <c r="F21" s="613"/>
      <c r="G21" s="581">
        <f t="shared" si="1"/>
        <v>0</v>
      </c>
      <c r="H21" s="607"/>
      <c r="I21" s="586"/>
      <c r="J21" s="584">
        <f t="shared" si="2"/>
        <v>0</v>
      </c>
      <c r="K21" s="587"/>
      <c r="L21" s="588"/>
      <c r="M21" s="589"/>
      <c r="N21" s="590"/>
      <c r="O21" s="668" t="s">
        <v>574</v>
      </c>
      <c r="P21" s="454"/>
      <c r="Q21" s="455"/>
      <c r="R21" s="455"/>
      <c r="S21" s="455"/>
      <c r="T21" s="455"/>
      <c r="U21" s="455"/>
      <c r="V21" s="456"/>
      <c r="W21" s="457" t="s">
        <v>257</v>
      </c>
      <c r="X21" s="458"/>
      <c r="Y21" s="453"/>
    </row>
    <row r="22" spans="2:25" ht="21" customHeight="1">
      <c r="B22" s="404">
        <v>8</v>
      </c>
      <c r="C22" s="405" t="s">
        <v>319</v>
      </c>
      <c r="D22" s="406">
        <v>1</v>
      </c>
      <c r="E22" s="579">
        <f t="shared" si="0"/>
        <v>17.145</v>
      </c>
      <c r="F22" s="612"/>
      <c r="G22" s="581">
        <f t="shared" si="1"/>
        <v>0</v>
      </c>
      <c r="H22" s="606"/>
      <c r="I22" s="583"/>
      <c r="J22" s="584">
        <f t="shared" si="2"/>
        <v>0</v>
      </c>
      <c r="K22" s="582"/>
      <c r="L22" s="585"/>
      <c r="M22" s="580"/>
      <c r="N22" s="584"/>
      <c r="O22" s="667" t="s">
        <v>693</v>
      </c>
      <c r="P22" s="408"/>
      <c r="Q22" s="430"/>
      <c r="R22" s="459"/>
      <c r="S22" s="459"/>
      <c r="T22" s="459"/>
      <c r="U22" s="459"/>
      <c r="V22" s="451"/>
      <c r="W22" s="452"/>
      <c r="X22" s="453"/>
      <c r="Y22" s="453"/>
    </row>
    <row r="23" spans="2:25" ht="21" customHeight="1">
      <c r="B23" s="404">
        <v>9</v>
      </c>
      <c r="C23" s="469" t="s">
        <v>161</v>
      </c>
      <c r="D23" s="470">
        <v>1</v>
      </c>
      <c r="E23" s="579">
        <f t="shared" si="0"/>
        <v>17.145</v>
      </c>
      <c r="F23" s="615"/>
      <c r="G23" s="581">
        <f t="shared" si="1"/>
        <v>0</v>
      </c>
      <c r="H23" s="609"/>
      <c r="I23" s="586"/>
      <c r="J23" s="584">
        <f t="shared" si="2"/>
        <v>0</v>
      </c>
      <c r="K23" s="591"/>
      <c r="L23" s="592"/>
      <c r="M23" s="593"/>
      <c r="N23" s="594"/>
      <c r="O23" s="596" t="s">
        <v>157</v>
      </c>
      <c r="P23" s="461"/>
      <c r="Q23" s="462"/>
      <c r="R23" s="462"/>
      <c r="S23" s="462"/>
      <c r="T23" s="462"/>
      <c r="U23" s="462"/>
      <c r="V23" s="463" t="s">
        <v>250</v>
      </c>
      <c r="W23" s="468" t="s">
        <v>253</v>
      </c>
      <c r="X23" s="458"/>
      <c r="Y23" s="453"/>
    </row>
    <row r="24" spans="2:25" ht="21" customHeight="1">
      <c r="B24" s="404">
        <v>10</v>
      </c>
      <c r="C24" s="405" t="s">
        <v>691</v>
      </c>
      <c r="D24" s="470">
        <v>10</v>
      </c>
      <c r="E24" s="579">
        <f t="shared" si="0"/>
        <v>171.45</v>
      </c>
      <c r="F24" s="615"/>
      <c r="G24" s="581"/>
      <c r="H24" s="609"/>
      <c r="I24" s="586"/>
      <c r="J24" s="584"/>
      <c r="K24" s="591"/>
      <c r="L24" s="592"/>
      <c r="M24" s="593"/>
      <c r="N24" s="594"/>
      <c r="O24" s="595" t="s">
        <v>692</v>
      </c>
      <c r="P24" s="461"/>
      <c r="Q24" s="462"/>
      <c r="R24" s="462"/>
      <c r="S24" s="462"/>
      <c r="T24" s="462"/>
      <c r="U24" s="462"/>
      <c r="V24" s="463"/>
      <c r="W24" s="464"/>
      <c r="X24" s="458"/>
      <c r="Y24" s="453"/>
    </row>
    <row r="25" spans="2:25" ht="21" customHeight="1">
      <c r="B25" s="404">
        <v>11</v>
      </c>
      <c r="C25" s="405" t="s">
        <v>264</v>
      </c>
      <c r="D25" s="406">
        <v>2</v>
      </c>
      <c r="E25" s="579">
        <f>D25*12.45</f>
        <v>24.9</v>
      </c>
      <c r="F25" s="612"/>
      <c r="G25" s="581">
        <f aca="true" t="shared" si="3" ref="G25:G33">F25*13.16</f>
        <v>0</v>
      </c>
      <c r="H25" s="606"/>
      <c r="I25" s="583"/>
      <c r="J25" s="584">
        <f aca="true" t="shared" si="4" ref="J25:J32">H25*13.388</f>
        <v>0</v>
      </c>
      <c r="K25" s="582"/>
      <c r="L25" s="585"/>
      <c r="M25" s="580"/>
      <c r="N25" s="584"/>
      <c r="O25" s="595" t="s">
        <v>157</v>
      </c>
      <c r="P25" s="429"/>
      <c r="Q25" s="431"/>
      <c r="R25" s="465"/>
      <c r="S25" s="465"/>
      <c r="T25" s="431"/>
      <c r="U25" s="431"/>
      <c r="V25" s="451"/>
      <c r="W25" s="466"/>
      <c r="X25" s="458"/>
      <c r="Y25" s="453"/>
    </row>
    <row r="26" spans="2:25" ht="21" customHeight="1">
      <c r="B26" s="404">
        <v>12</v>
      </c>
      <c r="C26" s="469" t="s">
        <v>107</v>
      </c>
      <c r="D26" s="470">
        <v>1</v>
      </c>
      <c r="E26" s="579">
        <f>D26*12.45</f>
        <v>12.45</v>
      </c>
      <c r="F26" s="615"/>
      <c r="G26" s="581">
        <f t="shared" si="3"/>
        <v>0</v>
      </c>
      <c r="H26" s="609"/>
      <c r="I26" s="586"/>
      <c r="J26" s="584">
        <f t="shared" si="4"/>
        <v>0</v>
      </c>
      <c r="K26" s="591"/>
      <c r="L26" s="592"/>
      <c r="M26" s="593"/>
      <c r="N26" s="594"/>
      <c r="O26" s="595" t="s">
        <v>157</v>
      </c>
      <c r="P26" s="461"/>
      <c r="Q26" s="462"/>
      <c r="R26" s="462"/>
      <c r="S26" s="462"/>
      <c r="T26" s="462"/>
      <c r="U26" s="462"/>
      <c r="V26" s="463" t="s">
        <v>250</v>
      </c>
      <c r="W26" s="464" t="s">
        <v>249</v>
      </c>
      <c r="X26" s="458"/>
      <c r="Y26" s="453"/>
    </row>
    <row r="27" spans="2:25" ht="21" customHeight="1">
      <c r="B27" s="404">
        <v>14</v>
      </c>
      <c r="C27" s="407" t="s">
        <v>140</v>
      </c>
      <c r="D27" s="406">
        <v>4</v>
      </c>
      <c r="E27" s="579">
        <f>D27*12.45</f>
        <v>49.8</v>
      </c>
      <c r="F27" s="612"/>
      <c r="G27" s="581">
        <f t="shared" si="3"/>
        <v>0</v>
      </c>
      <c r="H27" s="606"/>
      <c r="I27" s="583"/>
      <c r="J27" s="584">
        <f t="shared" si="4"/>
        <v>0</v>
      </c>
      <c r="K27" s="582"/>
      <c r="L27" s="585"/>
      <c r="M27" s="580"/>
      <c r="N27" s="584"/>
      <c r="O27" s="667" t="s">
        <v>157</v>
      </c>
      <c r="P27" s="408"/>
      <c r="Q27" s="430"/>
      <c r="R27" s="459"/>
      <c r="S27" s="459"/>
      <c r="T27" s="430"/>
      <c r="U27" s="460"/>
      <c r="V27" s="451"/>
      <c r="W27" s="452"/>
      <c r="X27" s="453"/>
      <c r="Y27" s="453"/>
    </row>
    <row r="28" spans="2:25" ht="21" customHeight="1">
      <c r="B28" s="404">
        <v>15</v>
      </c>
      <c r="C28" s="469" t="s">
        <v>171</v>
      </c>
      <c r="D28" s="471">
        <v>8</v>
      </c>
      <c r="E28" s="579">
        <f>D28*17.145</f>
        <v>137.16</v>
      </c>
      <c r="F28" s="614"/>
      <c r="G28" s="581">
        <f t="shared" si="3"/>
        <v>0</v>
      </c>
      <c r="H28" s="607"/>
      <c r="I28" s="586"/>
      <c r="J28" s="584">
        <f t="shared" si="4"/>
        <v>0</v>
      </c>
      <c r="K28" s="587"/>
      <c r="L28" s="588"/>
      <c r="M28" s="589"/>
      <c r="N28" s="590"/>
      <c r="O28" s="668" t="s">
        <v>463</v>
      </c>
      <c r="P28" s="454"/>
      <c r="Q28" s="455"/>
      <c r="R28" s="455"/>
      <c r="S28" s="455"/>
      <c r="T28" s="455"/>
      <c r="U28" s="455"/>
      <c r="V28" s="456"/>
      <c r="W28" s="457" t="s">
        <v>255</v>
      </c>
      <c r="X28" s="458"/>
      <c r="Y28" s="453"/>
    </row>
    <row r="29" spans="2:25" ht="21" customHeight="1">
      <c r="B29" s="404">
        <v>16</v>
      </c>
      <c r="C29" s="469" t="s">
        <v>694</v>
      </c>
      <c r="D29" s="470">
        <v>3</v>
      </c>
      <c r="E29" s="579">
        <f>D29*17.145</f>
        <v>51.435</v>
      </c>
      <c r="F29" s="613"/>
      <c r="G29" s="581">
        <f t="shared" si="3"/>
        <v>0</v>
      </c>
      <c r="H29" s="610"/>
      <c r="I29" s="586"/>
      <c r="J29" s="584">
        <f t="shared" si="4"/>
        <v>0</v>
      </c>
      <c r="K29" s="591"/>
      <c r="L29" s="592"/>
      <c r="M29" s="593"/>
      <c r="N29" s="594"/>
      <c r="O29" s="595" t="s">
        <v>695</v>
      </c>
      <c r="P29" s="461"/>
      <c r="Q29" s="462"/>
      <c r="R29" s="462"/>
      <c r="S29" s="462"/>
      <c r="T29" s="462"/>
      <c r="U29" s="462"/>
      <c r="V29" s="463"/>
      <c r="W29" s="464" t="s">
        <v>254</v>
      </c>
      <c r="X29" s="458"/>
      <c r="Y29" s="453"/>
    </row>
    <row r="30" spans="2:25" ht="21" customHeight="1">
      <c r="B30" s="404">
        <v>17</v>
      </c>
      <c r="C30" s="469" t="s">
        <v>175</v>
      </c>
      <c r="D30" s="470"/>
      <c r="E30" s="579">
        <f>D30*17.145</f>
        <v>0</v>
      </c>
      <c r="F30" s="615">
        <v>2</v>
      </c>
      <c r="G30" s="581">
        <f t="shared" si="3"/>
        <v>26.32</v>
      </c>
      <c r="H30" s="608"/>
      <c r="I30" s="586"/>
      <c r="J30" s="584">
        <f t="shared" si="4"/>
        <v>0</v>
      </c>
      <c r="K30" s="591"/>
      <c r="L30" s="592"/>
      <c r="M30" s="593"/>
      <c r="N30" s="594"/>
      <c r="O30" s="595" t="s">
        <v>462</v>
      </c>
      <c r="P30" s="461"/>
      <c r="Q30" s="462"/>
      <c r="R30" s="462"/>
      <c r="S30" s="462"/>
      <c r="T30" s="462"/>
      <c r="U30" s="462"/>
      <c r="V30" s="463"/>
      <c r="W30" s="464" t="s">
        <v>251</v>
      </c>
      <c r="X30" s="458"/>
      <c r="Y30" s="453"/>
    </row>
    <row r="31" spans="2:25" ht="21" customHeight="1">
      <c r="B31" s="404">
        <v>18</v>
      </c>
      <c r="C31" s="469" t="s">
        <v>471</v>
      </c>
      <c r="D31" s="470">
        <v>1</v>
      </c>
      <c r="E31" s="579">
        <f>D31*127.45</f>
        <v>127.45</v>
      </c>
      <c r="F31" s="614"/>
      <c r="G31" s="581">
        <f t="shared" si="3"/>
        <v>0</v>
      </c>
      <c r="H31" s="608"/>
      <c r="I31" s="586"/>
      <c r="J31" s="584">
        <f t="shared" si="4"/>
        <v>0</v>
      </c>
      <c r="K31" s="591"/>
      <c r="L31" s="592"/>
      <c r="M31" s="593"/>
      <c r="N31" s="594"/>
      <c r="O31" s="596" t="s">
        <v>157</v>
      </c>
      <c r="P31" s="461"/>
      <c r="Q31" s="462"/>
      <c r="R31" s="462"/>
      <c r="S31" s="462"/>
      <c r="T31" s="462"/>
      <c r="U31" s="462"/>
      <c r="V31" s="463"/>
      <c r="W31" s="467" t="s">
        <v>252</v>
      </c>
      <c r="X31" s="458"/>
      <c r="Y31" s="453"/>
    </row>
    <row r="32" spans="2:25" ht="21" customHeight="1" thickBot="1">
      <c r="B32" s="404">
        <v>19</v>
      </c>
      <c r="C32" s="469" t="s">
        <v>141</v>
      </c>
      <c r="D32" s="471"/>
      <c r="E32" s="579">
        <f>D32*17.145</f>
        <v>0</v>
      </c>
      <c r="F32" s="614"/>
      <c r="G32" s="581">
        <f t="shared" si="3"/>
        <v>0</v>
      </c>
      <c r="H32" s="607">
        <v>1</v>
      </c>
      <c r="I32" s="586"/>
      <c r="J32" s="584">
        <f t="shared" si="4"/>
        <v>13.388</v>
      </c>
      <c r="K32" s="587"/>
      <c r="L32" s="588"/>
      <c r="M32" s="589"/>
      <c r="N32" s="590"/>
      <c r="O32" s="668" t="s">
        <v>137</v>
      </c>
      <c r="P32" s="454"/>
      <c r="Q32" s="455"/>
      <c r="R32" s="455"/>
      <c r="S32" s="455"/>
      <c r="T32" s="455"/>
      <c r="U32" s="455"/>
      <c r="V32" s="456"/>
      <c r="W32" s="457" t="s">
        <v>252</v>
      </c>
      <c r="X32" s="458"/>
      <c r="Y32" s="453"/>
    </row>
    <row r="33" spans="2:23" ht="16.5" thickBot="1">
      <c r="B33" s="409"/>
      <c r="C33" s="410" t="s">
        <v>142</v>
      </c>
      <c r="D33" s="411">
        <f>SUM(D15:D32)</f>
        <v>35</v>
      </c>
      <c r="E33" s="597">
        <f>D33*17.145</f>
        <v>600.0749999999999</v>
      </c>
      <c r="F33" s="616">
        <f>SUM(F15:F32)</f>
        <v>2</v>
      </c>
      <c r="G33" s="599">
        <f t="shared" si="3"/>
        <v>26.32</v>
      </c>
      <c r="H33" s="611">
        <f>SUM(H15:I32)</f>
        <v>8</v>
      </c>
      <c r="I33" s="600">
        <f>SUM(I15:J32)</f>
        <v>107.104</v>
      </c>
      <c r="J33" s="598">
        <v>120.492</v>
      </c>
      <c r="K33" s="601">
        <f>SUM(K15:K32)</f>
        <v>0</v>
      </c>
      <c r="L33" s="597">
        <f>SUM(L15:L32)</f>
        <v>0</v>
      </c>
      <c r="M33" s="598">
        <f>SUM(M15:M32)</f>
        <v>0</v>
      </c>
      <c r="N33" s="599">
        <f>SUM(N15:N32)</f>
        <v>0</v>
      </c>
      <c r="O33" s="602"/>
      <c r="P33" s="441">
        <f>SUM(P15:P32)</f>
        <v>0</v>
      </c>
      <c r="Q33" s="412">
        <f>SUM(Q15:Q32)</f>
        <v>0</v>
      </c>
      <c r="R33" s="412">
        <f>SUM(R15:R32)</f>
        <v>0</v>
      </c>
      <c r="S33" s="413">
        <f>SUM(S15:S32)</f>
        <v>0</v>
      </c>
      <c r="T33" s="414"/>
      <c r="U33" s="415"/>
      <c r="V33" s="425"/>
      <c r="W33" s="426"/>
    </row>
    <row r="34" spans="2:23" ht="16.5" thickBot="1">
      <c r="B34" s="306"/>
      <c r="C34" s="416" t="s">
        <v>125</v>
      </c>
      <c r="D34" s="617">
        <f>D33+F33+H33</f>
        <v>45</v>
      </c>
      <c r="E34" s="2110">
        <f>E33+G33+I33</f>
        <v>733.499</v>
      </c>
      <c r="F34" s="2110"/>
      <c r="G34" s="603"/>
      <c r="H34" s="819"/>
      <c r="I34" s="603"/>
      <c r="J34" s="603"/>
      <c r="K34" s="603"/>
      <c r="L34" s="603"/>
      <c r="M34" s="603"/>
      <c r="N34" s="604">
        <f>L33+N33</f>
        <v>0</v>
      </c>
      <c r="O34" s="605"/>
      <c r="P34" s="427"/>
      <c r="Q34" s="427"/>
      <c r="R34" s="427"/>
      <c r="S34" s="427"/>
      <c r="T34" s="427"/>
      <c r="U34" s="427"/>
      <c r="V34" s="427"/>
      <c r="W34" s="428"/>
    </row>
    <row r="35" spans="2:15" ht="15.75">
      <c r="B35" s="29"/>
      <c r="C35" s="29"/>
      <c r="D35" s="417"/>
      <c r="E35" s="417"/>
      <c r="F35" s="417"/>
      <c r="G35" s="417"/>
      <c r="H35" s="418"/>
      <c r="I35" s="419"/>
      <c r="J35" s="29"/>
      <c r="K35" s="29"/>
      <c r="L35" s="29"/>
      <c r="M35" s="29"/>
      <c r="N35" s="57"/>
      <c r="O35" s="29"/>
    </row>
    <row r="36" spans="2:15" ht="15.75">
      <c r="B36" s="29"/>
      <c r="C36" s="420"/>
      <c r="D36" s="420"/>
      <c r="E36" s="420"/>
      <c r="F36" s="420"/>
      <c r="G36" s="420"/>
      <c r="H36" s="421"/>
      <c r="I36" s="29"/>
      <c r="J36" s="29"/>
      <c r="K36" s="29"/>
      <c r="L36" s="29"/>
      <c r="M36" s="29"/>
      <c r="N36" s="29"/>
      <c r="O36" s="29"/>
    </row>
    <row r="37" spans="2:22" ht="15.75">
      <c r="B37" s="422"/>
      <c r="C37" s="422" t="s">
        <v>37</v>
      </c>
      <c r="D37" s="422"/>
      <c r="E37" s="422"/>
      <c r="F37" s="422"/>
      <c r="G37" s="422"/>
      <c r="H37" s="423"/>
      <c r="I37" s="29"/>
      <c r="J37" s="424" t="s">
        <v>38</v>
      </c>
      <c r="K37" s="422"/>
      <c r="L37" s="422" t="s">
        <v>143</v>
      </c>
      <c r="M37" s="422"/>
      <c r="N37" s="422"/>
      <c r="O37" s="422"/>
      <c r="U37" s="103"/>
      <c r="V37" s="20"/>
    </row>
  </sheetData>
  <autoFilter ref="B14:W34"/>
  <mergeCells count="29">
    <mergeCell ref="B11:B13"/>
    <mergeCell ref="C11:C13"/>
    <mergeCell ref="D11:D13"/>
    <mergeCell ref="E11:E13"/>
    <mergeCell ref="F11:F13"/>
    <mergeCell ref="E34:F34"/>
    <mergeCell ref="O11:O13"/>
    <mergeCell ref="P11:T11"/>
    <mergeCell ref="G11:G13"/>
    <mergeCell ref="H11:H13"/>
    <mergeCell ref="I11:I13"/>
    <mergeCell ref="J11:J13"/>
    <mergeCell ref="U11:U13"/>
    <mergeCell ref="V11:V13"/>
    <mergeCell ref="W11:W13"/>
    <mergeCell ref="K12:K13"/>
    <mergeCell ref="L12:L13"/>
    <mergeCell ref="M12:M13"/>
    <mergeCell ref="N12:N13"/>
    <mergeCell ref="P12:Q12"/>
    <mergeCell ref="K11:L11"/>
    <mergeCell ref="M11:N11"/>
    <mergeCell ref="R12:S12"/>
    <mergeCell ref="T12:T13"/>
    <mergeCell ref="K3:O3"/>
    <mergeCell ref="K4:O4"/>
    <mergeCell ref="K5:O5"/>
    <mergeCell ref="K6:O6"/>
    <mergeCell ref="B8:O9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B1:P86"/>
  <sheetViews>
    <sheetView zoomScale="90" zoomScaleNormal="90" workbookViewId="0" topLeftCell="A1">
      <pane xSplit="2" ySplit="12" topLeftCell="C13" activePane="bottomRight" state="frozen"/>
      <selection pane="topRight" activeCell="B1" sqref="B1"/>
      <selection pane="bottomLeft" activeCell="A13" sqref="A13"/>
      <selection pane="bottomRight" activeCell="R110" sqref="R110"/>
    </sheetView>
  </sheetViews>
  <sheetFormatPr defaultColWidth="9.00390625" defaultRowHeight="12.75"/>
  <cols>
    <col min="1" max="1" width="6.625" style="0" customWidth="1"/>
    <col min="2" max="2" width="5.625" style="0" customWidth="1"/>
    <col min="3" max="3" width="30.125" style="0" customWidth="1"/>
    <col min="4" max="4" width="13.625" style="0" customWidth="1"/>
    <col min="5" max="5" width="11.00390625" style="0" customWidth="1"/>
    <col min="6" max="6" width="13.25390625" style="0" hidden="1" customWidth="1"/>
    <col min="7" max="7" width="13.25390625" style="0" customWidth="1"/>
    <col min="8" max="10" width="12.75390625" style="0" hidden="1" customWidth="1"/>
    <col min="11" max="11" width="14.00390625" style="0" hidden="1" customWidth="1"/>
    <col min="12" max="12" width="21.125" style="0" hidden="1" customWidth="1"/>
    <col min="13" max="13" width="13.125" style="0" customWidth="1"/>
    <col min="14" max="14" width="12.875" style="0" hidden="1" customWidth="1"/>
    <col min="15" max="15" width="22.375" style="0" hidden="1" customWidth="1"/>
    <col min="16" max="20" width="9.125" style="0" customWidth="1"/>
    <col min="254" max="254" width="6.625" style="0" customWidth="1"/>
    <col min="255" max="255" width="5.625" style="0" customWidth="1"/>
    <col min="256" max="256" width="30.125" style="0" customWidth="1"/>
    <col min="257" max="257" width="13.625" style="0" customWidth="1"/>
    <col min="258" max="258" width="13.25390625" style="0" customWidth="1"/>
    <col min="259" max="260" width="16.75390625" style="0" customWidth="1"/>
    <col min="261" max="262" width="12.75390625" style="0" customWidth="1"/>
    <col min="263" max="263" width="9.00390625" style="0" hidden="1" customWidth="1"/>
    <col min="264" max="265" width="12.75390625" style="0" customWidth="1"/>
    <col min="266" max="266" width="9.00390625" style="0" hidden="1" customWidth="1"/>
    <col min="267" max="267" width="16.625" style="0" customWidth="1"/>
    <col min="268" max="268" width="13.125" style="0" customWidth="1"/>
    <col min="269" max="270" width="12.75390625" style="0" customWidth="1"/>
    <col min="271" max="271" width="22.375" style="0" customWidth="1"/>
    <col min="510" max="510" width="6.625" style="0" customWidth="1"/>
    <col min="511" max="511" width="5.625" style="0" customWidth="1"/>
    <col min="512" max="512" width="30.125" style="0" customWidth="1"/>
    <col min="513" max="513" width="13.625" style="0" customWidth="1"/>
    <col min="514" max="514" width="13.25390625" style="0" customWidth="1"/>
    <col min="515" max="516" width="16.75390625" style="0" customWidth="1"/>
    <col min="517" max="518" width="12.75390625" style="0" customWidth="1"/>
    <col min="519" max="519" width="9.00390625" style="0" hidden="1" customWidth="1"/>
    <col min="520" max="521" width="12.75390625" style="0" customWidth="1"/>
    <col min="522" max="522" width="9.00390625" style="0" hidden="1" customWidth="1"/>
    <col min="523" max="523" width="16.625" style="0" customWidth="1"/>
    <col min="524" max="524" width="13.125" style="0" customWidth="1"/>
    <col min="525" max="526" width="12.75390625" style="0" customWidth="1"/>
    <col min="527" max="527" width="22.375" style="0" customWidth="1"/>
    <col min="766" max="766" width="6.625" style="0" customWidth="1"/>
    <col min="767" max="767" width="5.625" style="0" customWidth="1"/>
    <col min="768" max="768" width="30.125" style="0" customWidth="1"/>
    <col min="769" max="769" width="13.625" style="0" customWidth="1"/>
    <col min="770" max="770" width="13.25390625" style="0" customWidth="1"/>
    <col min="771" max="772" width="16.75390625" style="0" customWidth="1"/>
    <col min="773" max="774" width="12.75390625" style="0" customWidth="1"/>
    <col min="775" max="775" width="9.00390625" style="0" hidden="1" customWidth="1"/>
    <col min="776" max="777" width="12.75390625" style="0" customWidth="1"/>
    <col min="778" max="778" width="9.00390625" style="0" hidden="1" customWidth="1"/>
    <col min="779" max="779" width="16.625" style="0" customWidth="1"/>
    <col min="780" max="780" width="13.125" style="0" customWidth="1"/>
    <col min="781" max="782" width="12.75390625" style="0" customWidth="1"/>
    <col min="783" max="783" width="22.375" style="0" customWidth="1"/>
    <col min="1022" max="1022" width="6.625" style="0" customWidth="1"/>
    <col min="1023" max="1023" width="5.625" style="0" customWidth="1"/>
    <col min="1024" max="1024" width="30.125" style="0" customWidth="1"/>
    <col min="1025" max="1025" width="13.625" style="0" customWidth="1"/>
    <col min="1026" max="1026" width="13.25390625" style="0" customWidth="1"/>
    <col min="1027" max="1028" width="16.75390625" style="0" customWidth="1"/>
    <col min="1029" max="1030" width="12.75390625" style="0" customWidth="1"/>
    <col min="1031" max="1031" width="9.00390625" style="0" hidden="1" customWidth="1"/>
    <col min="1032" max="1033" width="12.75390625" style="0" customWidth="1"/>
    <col min="1034" max="1034" width="9.00390625" style="0" hidden="1" customWidth="1"/>
    <col min="1035" max="1035" width="16.625" style="0" customWidth="1"/>
    <col min="1036" max="1036" width="13.125" style="0" customWidth="1"/>
    <col min="1037" max="1038" width="12.75390625" style="0" customWidth="1"/>
    <col min="1039" max="1039" width="22.375" style="0" customWidth="1"/>
    <col min="1278" max="1278" width="6.625" style="0" customWidth="1"/>
    <col min="1279" max="1279" width="5.625" style="0" customWidth="1"/>
    <col min="1280" max="1280" width="30.125" style="0" customWidth="1"/>
    <col min="1281" max="1281" width="13.625" style="0" customWidth="1"/>
    <col min="1282" max="1282" width="13.25390625" style="0" customWidth="1"/>
    <col min="1283" max="1284" width="16.75390625" style="0" customWidth="1"/>
    <col min="1285" max="1286" width="12.75390625" style="0" customWidth="1"/>
    <col min="1287" max="1287" width="9.00390625" style="0" hidden="1" customWidth="1"/>
    <col min="1288" max="1289" width="12.75390625" style="0" customWidth="1"/>
    <col min="1290" max="1290" width="9.00390625" style="0" hidden="1" customWidth="1"/>
    <col min="1291" max="1291" width="16.625" style="0" customWidth="1"/>
    <col min="1292" max="1292" width="13.125" style="0" customWidth="1"/>
    <col min="1293" max="1294" width="12.75390625" style="0" customWidth="1"/>
    <col min="1295" max="1295" width="22.375" style="0" customWidth="1"/>
    <col min="1534" max="1534" width="6.625" style="0" customWidth="1"/>
    <col min="1535" max="1535" width="5.625" style="0" customWidth="1"/>
    <col min="1536" max="1536" width="30.125" style="0" customWidth="1"/>
    <col min="1537" max="1537" width="13.625" style="0" customWidth="1"/>
    <col min="1538" max="1538" width="13.25390625" style="0" customWidth="1"/>
    <col min="1539" max="1540" width="16.75390625" style="0" customWidth="1"/>
    <col min="1541" max="1542" width="12.75390625" style="0" customWidth="1"/>
    <col min="1543" max="1543" width="9.00390625" style="0" hidden="1" customWidth="1"/>
    <col min="1544" max="1545" width="12.75390625" style="0" customWidth="1"/>
    <col min="1546" max="1546" width="9.00390625" style="0" hidden="1" customWidth="1"/>
    <col min="1547" max="1547" width="16.625" style="0" customWidth="1"/>
    <col min="1548" max="1548" width="13.125" style="0" customWidth="1"/>
    <col min="1549" max="1550" width="12.75390625" style="0" customWidth="1"/>
    <col min="1551" max="1551" width="22.375" style="0" customWidth="1"/>
    <col min="1790" max="1790" width="6.625" style="0" customWidth="1"/>
    <col min="1791" max="1791" width="5.625" style="0" customWidth="1"/>
    <col min="1792" max="1792" width="30.125" style="0" customWidth="1"/>
    <col min="1793" max="1793" width="13.625" style="0" customWidth="1"/>
    <col min="1794" max="1794" width="13.25390625" style="0" customWidth="1"/>
    <col min="1795" max="1796" width="16.75390625" style="0" customWidth="1"/>
    <col min="1797" max="1798" width="12.75390625" style="0" customWidth="1"/>
    <col min="1799" max="1799" width="9.00390625" style="0" hidden="1" customWidth="1"/>
    <col min="1800" max="1801" width="12.75390625" style="0" customWidth="1"/>
    <col min="1802" max="1802" width="9.00390625" style="0" hidden="1" customWidth="1"/>
    <col min="1803" max="1803" width="16.625" style="0" customWidth="1"/>
    <col min="1804" max="1804" width="13.125" style="0" customWidth="1"/>
    <col min="1805" max="1806" width="12.75390625" style="0" customWidth="1"/>
    <col min="1807" max="1807" width="22.375" style="0" customWidth="1"/>
    <col min="2046" max="2046" width="6.625" style="0" customWidth="1"/>
    <col min="2047" max="2047" width="5.625" style="0" customWidth="1"/>
    <col min="2048" max="2048" width="30.125" style="0" customWidth="1"/>
    <col min="2049" max="2049" width="13.625" style="0" customWidth="1"/>
    <col min="2050" max="2050" width="13.25390625" style="0" customWidth="1"/>
    <col min="2051" max="2052" width="16.75390625" style="0" customWidth="1"/>
    <col min="2053" max="2054" width="12.75390625" style="0" customWidth="1"/>
    <col min="2055" max="2055" width="9.00390625" style="0" hidden="1" customWidth="1"/>
    <col min="2056" max="2057" width="12.75390625" style="0" customWidth="1"/>
    <col min="2058" max="2058" width="9.00390625" style="0" hidden="1" customWidth="1"/>
    <col min="2059" max="2059" width="16.625" style="0" customWidth="1"/>
    <col min="2060" max="2060" width="13.125" style="0" customWidth="1"/>
    <col min="2061" max="2062" width="12.75390625" style="0" customWidth="1"/>
    <col min="2063" max="2063" width="22.375" style="0" customWidth="1"/>
    <col min="2302" max="2302" width="6.625" style="0" customWidth="1"/>
    <col min="2303" max="2303" width="5.625" style="0" customWidth="1"/>
    <col min="2304" max="2304" width="30.125" style="0" customWidth="1"/>
    <col min="2305" max="2305" width="13.625" style="0" customWidth="1"/>
    <col min="2306" max="2306" width="13.25390625" style="0" customWidth="1"/>
    <col min="2307" max="2308" width="16.75390625" style="0" customWidth="1"/>
    <col min="2309" max="2310" width="12.75390625" style="0" customWidth="1"/>
    <col min="2311" max="2311" width="9.00390625" style="0" hidden="1" customWidth="1"/>
    <col min="2312" max="2313" width="12.75390625" style="0" customWidth="1"/>
    <col min="2314" max="2314" width="9.00390625" style="0" hidden="1" customWidth="1"/>
    <col min="2315" max="2315" width="16.625" style="0" customWidth="1"/>
    <col min="2316" max="2316" width="13.125" style="0" customWidth="1"/>
    <col min="2317" max="2318" width="12.75390625" style="0" customWidth="1"/>
    <col min="2319" max="2319" width="22.375" style="0" customWidth="1"/>
    <col min="2558" max="2558" width="6.625" style="0" customWidth="1"/>
    <col min="2559" max="2559" width="5.625" style="0" customWidth="1"/>
    <col min="2560" max="2560" width="30.125" style="0" customWidth="1"/>
    <col min="2561" max="2561" width="13.625" style="0" customWidth="1"/>
    <col min="2562" max="2562" width="13.25390625" style="0" customWidth="1"/>
    <col min="2563" max="2564" width="16.75390625" style="0" customWidth="1"/>
    <col min="2565" max="2566" width="12.75390625" style="0" customWidth="1"/>
    <col min="2567" max="2567" width="9.00390625" style="0" hidden="1" customWidth="1"/>
    <col min="2568" max="2569" width="12.75390625" style="0" customWidth="1"/>
    <col min="2570" max="2570" width="9.00390625" style="0" hidden="1" customWidth="1"/>
    <col min="2571" max="2571" width="16.625" style="0" customWidth="1"/>
    <col min="2572" max="2572" width="13.125" style="0" customWidth="1"/>
    <col min="2573" max="2574" width="12.75390625" style="0" customWidth="1"/>
    <col min="2575" max="2575" width="22.375" style="0" customWidth="1"/>
    <col min="2814" max="2814" width="6.625" style="0" customWidth="1"/>
    <col min="2815" max="2815" width="5.625" style="0" customWidth="1"/>
    <col min="2816" max="2816" width="30.125" style="0" customWidth="1"/>
    <col min="2817" max="2817" width="13.625" style="0" customWidth="1"/>
    <col min="2818" max="2818" width="13.25390625" style="0" customWidth="1"/>
    <col min="2819" max="2820" width="16.75390625" style="0" customWidth="1"/>
    <col min="2821" max="2822" width="12.75390625" style="0" customWidth="1"/>
    <col min="2823" max="2823" width="9.00390625" style="0" hidden="1" customWidth="1"/>
    <col min="2824" max="2825" width="12.75390625" style="0" customWidth="1"/>
    <col min="2826" max="2826" width="9.00390625" style="0" hidden="1" customWidth="1"/>
    <col min="2827" max="2827" width="16.625" style="0" customWidth="1"/>
    <col min="2828" max="2828" width="13.125" style="0" customWidth="1"/>
    <col min="2829" max="2830" width="12.75390625" style="0" customWidth="1"/>
    <col min="2831" max="2831" width="22.375" style="0" customWidth="1"/>
    <col min="3070" max="3070" width="6.625" style="0" customWidth="1"/>
    <col min="3071" max="3071" width="5.625" style="0" customWidth="1"/>
    <col min="3072" max="3072" width="30.125" style="0" customWidth="1"/>
    <col min="3073" max="3073" width="13.625" style="0" customWidth="1"/>
    <col min="3074" max="3074" width="13.25390625" style="0" customWidth="1"/>
    <col min="3075" max="3076" width="16.75390625" style="0" customWidth="1"/>
    <col min="3077" max="3078" width="12.75390625" style="0" customWidth="1"/>
    <col min="3079" max="3079" width="9.00390625" style="0" hidden="1" customWidth="1"/>
    <col min="3080" max="3081" width="12.75390625" style="0" customWidth="1"/>
    <col min="3082" max="3082" width="9.00390625" style="0" hidden="1" customWidth="1"/>
    <col min="3083" max="3083" width="16.625" style="0" customWidth="1"/>
    <col min="3084" max="3084" width="13.125" style="0" customWidth="1"/>
    <col min="3085" max="3086" width="12.75390625" style="0" customWidth="1"/>
    <col min="3087" max="3087" width="22.375" style="0" customWidth="1"/>
    <col min="3326" max="3326" width="6.625" style="0" customWidth="1"/>
    <col min="3327" max="3327" width="5.625" style="0" customWidth="1"/>
    <col min="3328" max="3328" width="30.125" style="0" customWidth="1"/>
    <col min="3329" max="3329" width="13.625" style="0" customWidth="1"/>
    <col min="3330" max="3330" width="13.25390625" style="0" customWidth="1"/>
    <col min="3331" max="3332" width="16.75390625" style="0" customWidth="1"/>
    <col min="3333" max="3334" width="12.75390625" style="0" customWidth="1"/>
    <col min="3335" max="3335" width="9.00390625" style="0" hidden="1" customWidth="1"/>
    <col min="3336" max="3337" width="12.75390625" style="0" customWidth="1"/>
    <col min="3338" max="3338" width="9.00390625" style="0" hidden="1" customWidth="1"/>
    <col min="3339" max="3339" width="16.625" style="0" customWidth="1"/>
    <col min="3340" max="3340" width="13.125" style="0" customWidth="1"/>
    <col min="3341" max="3342" width="12.75390625" style="0" customWidth="1"/>
    <col min="3343" max="3343" width="22.375" style="0" customWidth="1"/>
    <col min="3582" max="3582" width="6.625" style="0" customWidth="1"/>
    <col min="3583" max="3583" width="5.625" style="0" customWidth="1"/>
    <col min="3584" max="3584" width="30.125" style="0" customWidth="1"/>
    <col min="3585" max="3585" width="13.625" style="0" customWidth="1"/>
    <col min="3586" max="3586" width="13.25390625" style="0" customWidth="1"/>
    <col min="3587" max="3588" width="16.75390625" style="0" customWidth="1"/>
    <col min="3589" max="3590" width="12.75390625" style="0" customWidth="1"/>
    <col min="3591" max="3591" width="9.00390625" style="0" hidden="1" customWidth="1"/>
    <col min="3592" max="3593" width="12.75390625" style="0" customWidth="1"/>
    <col min="3594" max="3594" width="9.00390625" style="0" hidden="1" customWidth="1"/>
    <col min="3595" max="3595" width="16.625" style="0" customWidth="1"/>
    <col min="3596" max="3596" width="13.125" style="0" customWidth="1"/>
    <col min="3597" max="3598" width="12.75390625" style="0" customWidth="1"/>
    <col min="3599" max="3599" width="22.375" style="0" customWidth="1"/>
    <col min="3838" max="3838" width="6.625" style="0" customWidth="1"/>
    <col min="3839" max="3839" width="5.625" style="0" customWidth="1"/>
    <col min="3840" max="3840" width="30.125" style="0" customWidth="1"/>
    <col min="3841" max="3841" width="13.625" style="0" customWidth="1"/>
    <col min="3842" max="3842" width="13.25390625" style="0" customWidth="1"/>
    <col min="3843" max="3844" width="16.75390625" style="0" customWidth="1"/>
    <col min="3845" max="3846" width="12.75390625" style="0" customWidth="1"/>
    <col min="3847" max="3847" width="9.00390625" style="0" hidden="1" customWidth="1"/>
    <col min="3848" max="3849" width="12.75390625" style="0" customWidth="1"/>
    <col min="3850" max="3850" width="9.00390625" style="0" hidden="1" customWidth="1"/>
    <col min="3851" max="3851" width="16.625" style="0" customWidth="1"/>
    <col min="3852" max="3852" width="13.125" style="0" customWidth="1"/>
    <col min="3853" max="3854" width="12.75390625" style="0" customWidth="1"/>
    <col min="3855" max="3855" width="22.375" style="0" customWidth="1"/>
    <col min="4094" max="4094" width="6.625" style="0" customWidth="1"/>
    <col min="4095" max="4095" width="5.625" style="0" customWidth="1"/>
    <col min="4096" max="4096" width="30.125" style="0" customWidth="1"/>
    <col min="4097" max="4097" width="13.625" style="0" customWidth="1"/>
    <col min="4098" max="4098" width="13.25390625" style="0" customWidth="1"/>
    <col min="4099" max="4100" width="16.75390625" style="0" customWidth="1"/>
    <col min="4101" max="4102" width="12.75390625" style="0" customWidth="1"/>
    <col min="4103" max="4103" width="9.00390625" style="0" hidden="1" customWidth="1"/>
    <col min="4104" max="4105" width="12.75390625" style="0" customWidth="1"/>
    <col min="4106" max="4106" width="9.00390625" style="0" hidden="1" customWidth="1"/>
    <col min="4107" max="4107" width="16.625" style="0" customWidth="1"/>
    <col min="4108" max="4108" width="13.125" style="0" customWidth="1"/>
    <col min="4109" max="4110" width="12.75390625" style="0" customWidth="1"/>
    <col min="4111" max="4111" width="22.375" style="0" customWidth="1"/>
    <col min="4350" max="4350" width="6.625" style="0" customWidth="1"/>
    <col min="4351" max="4351" width="5.625" style="0" customWidth="1"/>
    <col min="4352" max="4352" width="30.125" style="0" customWidth="1"/>
    <col min="4353" max="4353" width="13.625" style="0" customWidth="1"/>
    <col min="4354" max="4354" width="13.25390625" style="0" customWidth="1"/>
    <col min="4355" max="4356" width="16.75390625" style="0" customWidth="1"/>
    <col min="4357" max="4358" width="12.75390625" style="0" customWidth="1"/>
    <col min="4359" max="4359" width="9.00390625" style="0" hidden="1" customWidth="1"/>
    <col min="4360" max="4361" width="12.75390625" style="0" customWidth="1"/>
    <col min="4362" max="4362" width="9.00390625" style="0" hidden="1" customWidth="1"/>
    <col min="4363" max="4363" width="16.625" style="0" customWidth="1"/>
    <col min="4364" max="4364" width="13.125" style="0" customWidth="1"/>
    <col min="4365" max="4366" width="12.75390625" style="0" customWidth="1"/>
    <col min="4367" max="4367" width="22.375" style="0" customWidth="1"/>
    <col min="4606" max="4606" width="6.625" style="0" customWidth="1"/>
    <col min="4607" max="4607" width="5.625" style="0" customWidth="1"/>
    <col min="4608" max="4608" width="30.125" style="0" customWidth="1"/>
    <col min="4609" max="4609" width="13.625" style="0" customWidth="1"/>
    <col min="4610" max="4610" width="13.25390625" style="0" customWidth="1"/>
    <col min="4611" max="4612" width="16.75390625" style="0" customWidth="1"/>
    <col min="4613" max="4614" width="12.75390625" style="0" customWidth="1"/>
    <col min="4615" max="4615" width="9.00390625" style="0" hidden="1" customWidth="1"/>
    <col min="4616" max="4617" width="12.75390625" style="0" customWidth="1"/>
    <col min="4618" max="4618" width="9.00390625" style="0" hidden="1" customWidth="1"/>
    <col min="4619" max="4619" width="16.625" style="0" customWidth="1"/>
    <col min="4620" max="4620" width="13.125" style="0" customWidth="1"/>
    <col min="4621" max="4622" width="12.75390625" style="0" customWidth="1"/>
    <col min="4623" max="4623" width="22.375" style="0" customWidth="1"/>
    <col min="4862" max="4862" width="6.625" style="0" customWidth="1"/>
    <col min="4863" max="4863" width="5.625" style="0" customWidth="1"/>
    <col min="4864" max="4864" width="30.125" style="0" customWidth="1"/>
    <col min="4865" max="4865" width="13.625" style="0" customWidth="1"/>
    <col min="4866" max="4866" width="13.25390625" style="0" customWidth="1"/>
    <col min="4867" max="4868" width="16.75390625" style="0" customWidth="1"/>
    <col min="4869" max="4870" width="12.75390625" style="0" customWidth="1"/>
    <col min="4871" max="4871" width="9.00390625" style="0" hidden="1" customWidth="1"/>
    <col min="4872" max="4873" width="12.75390625" style="0" customWidth="1"/>
    <col min="4874" max="4874" width="9.00390625" style="0" hidden="1" customWidth="1"/>
    <col min="4875" max="4875" width="16.625" style="0" customWidth="1"/>
    <col min="4876" max="4876" width="13.125" style="0" customWidth="1"/>
    <col min="4877" max="4878" width="12.75390625" style="0" customWidth="1"/>
    <col min="4879" max="4879" width="22.375" style="0" customWidth="1"/>
    <col min="5118" max="5118" width="6.625" style="0" customWidth="1"/>
    <col min="5119" max="5119" width="5.625" style="0" customWidth="1"/>
    <col min="5120" max="5120" width="30.125" style="0" customWidth="1"/>
    <col min="5121" max="5121" width="13.625" style="0" customWidth="1"/>
    <col min="5122" max="5122" width="13.25390625" style="0" customWidth="1"/>
    <col min="5123" max="5124" width="16.75390625" style="0" customWidth="1"/>
    <col min="5125" max="5126" width="12.75390625" style="0" customWidth="1"/>
    <col min="5127" max="5127" width="9.00390625" style="0" hidden="1" customWidth="1"/>
    <col min="5128" max="5129" width="12.75390625" style="0" customWidth="1"/>
    <col min="5130" max="5130" width="9.00390625" style="0" hidden="1" customWidth="1"/>
    <col min="5131" max="5131" width="16.625" style="0" customWidth="1"/>
    <col min="5132" max="5132" width="13.125" style="0" customWidth="1"/>
    <col min="5133" max="5134" width="12.75390625" style="0" customWidth="1"/>
    <col min="5135" max="5135" width="22.375" style="0" customWidth="1"/>
    <col min="5374" max="5374" width="6.625" style="0" customWidth="1"/>
    <col min="5375" max="5375" width="5.625" style="0" customWidth="1"/>
    <col min="5376" max="5376" width="30.125" style="0" customWidth="1"/>
    <col min="5377" max="5377" width="13.625" style="0" customWidth="1"/>
    <col min="5378" max="5378" width="13.25390625" style="0" customWidth="1"/>
    <col min="5379" max="5380" width="16.75390625" style="0" customWidth="1"/>
    <col min="5381" max="5382" width="12.75390625" style="0" customWidth="1"/>
    <col min="5383" max="5383" width="9.00390625" style="0" hidden="1" customWidth="1"/>
    <col min="5384" max="5385" width="12.75390625" style="0" customWidth="1"/>
    <col min="5386" max="5386" width="9.00390625" style="0" hidden="1" customWidth="1"/>
    <col min="5387" max="5387" width="16.625" style="0" customWidth="1"/>
    <col min="5388" max="5388" width="13.125" style="0" customWidth="1"/>
    <col min="5389" max="5390" width="12.75390625" style="0" customWidth="1"/>
    <col min="5391" max="5391" width="22.375" style="0" customWidth="1"/>
    <col min="5630" max="5630" width="6.625" style="0" customWidth="1"/>
    <col min="5631" max="5631" width="5.625" style="0" customWidth="1"/>
    <col min="5632" max="5632" width="30.125" style="0" customWidth="1"/>
    <col min="5633" max="5633" width="13.625" style="0" customWidth="1"/>
    <col min="5634" max="5634" width="13.25390625" style="0" customWidth="1"/>
    <col min="5635" max="5636" width="16.75390625" style="0" customWidth="1"/>
    <col min="5637" max="5638" width="12.75390625" style="0" customWidth="1"/>
    <col min="5639" max="5639" width="9.00390625" style="0" hidden="1" customWidth="1"/>
    <col min="5640" max="5641" width="12.75390625" style="0" customWidth="1"/>
    <col min="5642" max="5642" width="9.00390625" style="0" hidden="1" customWidth="1"/>
    <col min="5643" max="5643" width="16.625" style="0" customWidth="1"/>
    <col min="5644" max="5644" width="13.125" style="0" customWidth="1"/>
    <col min="5645" max="5646" width="12.75390625" style="0" customWidth="1"/>
    <col min="5647" max="5647" width="22.375" style="0" customWidth="1"/>
    <col min="5886" max="5886" width="6.625" style="0" customWidth="1"/>
    <col min="5887" max="5887" width="5.625" style="0" customWidth="1"/>
    <col min="5888" max="5888" width="30.125" style="0" customWidth="1"/>
    <col min="5889" max="5889" width="13.625" style="0" customWidth="1"/>
    <col min="5890" max="5890" width="13.25390625" style="0" customWidth="1"/>
    <col min="5891" max="5892" width="16.75390625" style="0" customWidth="1"/>
    <col min="5893" max="5894" width="12.75390625" style="0" customWidth="1"/>
    <col min="5895" max="5895" width="9.00390625" style="0" hidden="1" customWidth="1"/>
    <col min="5896" max="5897" width="12.75390625" style="0" customWidth="1"/>
    <col min="5898" max="5898" width="9.00390625" style="0" hidden="1" customWidth="1"/>
    <col min="5899" max="5899" width="16.625" style="0" customWidth="1"/>
    <col min="5900" max="5900" width="13.125" style="0" customWidth="1"/>
    <col min="5901" max="5902" width="12.75390625" style="0" customWidth="1"/>
    <col min="5903" max="5903" width="22.375" style="0" customWidth="1"/>
    <col min="6142" max="6142" width="6.625" style="0" customWidth="1"/>
    <col min="6143" max="6143" width="5.625" style="0" customWidth="1"/>
    <col min="6144" max="6144" width="30.125" style="0" customWidth="1"/>
    <col min="6145" max="6145" width="13.625" style="0" customWidth="1"/>
    <col min="6146" max="6146" width="13.25390625" style="0" customWidth="1"/>
    <col min="6147" max="6148" width="16.75390625" style="0" customWidth="1"/>
    <col min="6149" max="6150" width="12.75390625" style="0" customWidth="1"/>
    <col min="6151" max="6151" width="9.00390625" style="0" hidden="1" customWidth="1"/>
    <col min="6152" max="6153" width="12.75390625" style="0" customWidth="1"/>
    <col min="6154" max="6154" width="9.00390625" style="0" hidden="1" customWidth="1"/>
    <col min="6155" max="6155" width="16.625" style="0" customWidth="1"/>
    <col min="6156" max="6156" width="13.125" style="0" customWidth="1"/>
    <col min="6157" max="6158" width="12.75390625" style="0" customWidth="1"/>
    <col min="6159" max="6159" width="22.375" style="0" customWidth="1"/>
    <col min="6398" max="6398" width="6.625" style="0" customWidth="1"/>
    <col min="6399" max="6399" width="5.625" style="0" customWidth="1"/>
    <col min="6400" max="6400" width="30.125" style="0" customWidth="1"/>
    <col min="6401" max="6401" width="13.625" style="0" customWidth="1"/>
    <col min="6402" max="6402" width="13.25390625" style="0" customWidth="1"/>
    <col min="6403" max="6404" width="16.75390625" style="0" customWidth="1"/>
    <col min="6405" max="6406" width="12.75390625" style="0" customWidth="1"/>
    <col min="6407" max="6407" width="9.00390625" style="0" hidden="1" customWidth="1"/>
    <col min="6408" max="6409" width="12.75390625" style="0" customWidth="1"/>
    <col min="6410" max="6410" width="9.00390625" style="0" hidden="1" customWidth="1"/>
    <col min="6411" max="6411" width="16.625" style="0" customWidth="1"/>
    <col min="6412" max="6412" width="13.125" style="0" customWidth="1"/>
    <col min="6413" max="6414" width="12.75390625" style="0" customWidth="1"/>
    <col min="6415" max="6415" width="22.375" style="0" customWidth="1"/>
    <col min="6654" max="6654" width="6.625" style="0" customWidth="1"/>
    <col min="6655" max="6655" width="5.625" style="0" customWidth="1"/>
    <col min="6656" max="6656" width="30.125" style="0" customWidth="1"/>
    <col min="6657" max="6657" width="13.625" style="0" customWidth="1"/>
    <col min="6658" max="6658" width="13.25390625" style="0" customWidth="1"/>
    <col min="6659" max="6660" width="16.75390625" style="0" customWidth="1"/>
    <col min="6661" max="6662" width="12.75390625" style="0" customWidth="1"/>
    <col min="6663" max="6663" width="9.00390625" style="0" hidden="1" customWidth="1"/>
    <col min="6664" max="6665" width="12.75390625" style="0" customWidth="1"/>
    <col min="6666" max="6666" width="9.00390625" style="0" hidden="1" customWidth="1"/>
    <col min="6667" max="6667" width="16.625" style="0" customWidth="1"/>
    <col min="6668" max="6668" width="13.125" style="0" customWidth="1"/>
    <col min="6669" max="6670" width="12.75390625" style="0" customWidth="1"/>
    <col min="6671" max="6671" width="22.375" style="0" customWidth="1"/>
    <col min="6910" max="6910" width="6.625" style="0" customWidth="1"/>
    <col min="6911" max="6911" width="5.625" style="0" customWidth="1"/>
    <col min="6912" max="6912" width="30.125" style="0" customWidth="1"/>
    <col min="6913" max="6913" width="13.625" style="0" customWidth="1"/>
    <col min="6914" max="6914" width="13.25390625" style="0" customWidth="1"/>
    <col min="6915" max="6916" width="16.75390625" style="0" customWidth="1"/>
    <col min="6917" max="6918" width="12.75390625" style="0" customWidth="1"/>
    <col min="6919" max="6919" width="9.00390625" style="0" hidden="1" customWidth="1"/>
    <col min="6920" max="6921" width="12.75390625" style="0" customWidth="1"/>
    <col min="6922" max="6922" width="9.00390625" style="0" hidden="1" customWidth="1"/>
    <col min="6923" max="6923" width="16.625" style="0" customWidth="1"/>
    <col min="6924" max="6924" width="13.125" style="0" customWidth="1"/>
    <col min="6925" max="6926" width="12.75390625" style="0" customWidth="1"/>
    <col min="6927" max="6927" width="22.375" style="0" customWidth="1"/>
    <col min="7166" max="7166" width="6.625" style="0" customWidth="1"/>
    <col min="7167" max="7167" width="5.625" style="0" customWidth="1"/>
    <col min="7168" max="7168" width="30.125" style="0" customWidth="1"/>
    <col min="7169" max="7169" width="13.625" style="0" customWidth="1"/>
    <col min="7170" max="7170" width="13.25390625" style="0" customWidth="1"/>
    <col min="7171" max="7172" width="16.75390625" style="0" customWidth="1"/>
    <col min="7173" max="7174" width="12.75390625" style="0" customWidth="1"/>
    <col min="7175" max="7175" width="9.00390625" style="0" hidden="1" customWidth="1"/>
    <col min="7176" max="7177" width="12.75390625" style="0" customWidth="1"/>
    <col min="7178" max="7178" width="9.00390625" style="0" hidden="1" customWidth="1"/>
    <col min="7179" max="7179" width="16.625" style="0" customWidth="1"/>
    <col min="7180" max="7180" width="13.125" style="0" customWidth="1"/>
    <col min="7181" max="7182" width="12.75390625" style="0" customWidth="1"/>
    <col min="7183" max="7183" width="22.375" style="0" customWidth="1"/>
    <col min="7422" max="7422" width="6.625" style="0" customWidth="1"/>
    <col min="7423" max="7423" width="5.625" style="0" customWidth="1"/>
    <col min="7424" max="7424" width="30.125" style="0" customWidth="1"/>
    <col min="7425" max="7425" width="13.625" style="0" customWidth="1"/>
    <col min="7426" max="7426" width="13.25390625" style="0" customWidth="1"/>
    <col min="7427" max="7428" width="16.75390625" style="0" customWidth="1"/>
    <col min="7429" max="7430" width="12.75390625" style="0" customWidth="1"/>
    <col min="7431" max="7431" width="9.00390625" style="0" hidden="1" customWidth="1"/>
    <col min="7432" max="7433" width="12.75390625" style="0" customWidth="1"/>
    <col min="7434" max="7434" width="9.00390625" style="0" hidden="1" customWidth="1"/>
    <col min="7435" max="7435" width="16.625" style="0" customWidth="1"/>
    <col min="7436" max="7436" width="13.125" style="0" customWidth="1"/>
    <col min="7437" max="7438" width="12.75390625" style="0" customWidth="1"/>
    <col min="7439" max="7439" width="22.375" style="0" customWidth="1"/>
    <col min="7678" max="7678" width="6.625" style="0" customWidth="1"/>
    <col min="7679" max="7679" width="5.625" style="0" customWidth="1"/>
    <col min="7680" max="7680" width="30.125" style="0" customWidth="1"/>
    <col min="7681" max="7681" width="13.625" style="0" customWidth="1"/>
    <col min="7682" max="7682" width="13.25390625" style="0" customWidth="1"/>
    <col min="7683" max="7684" width="16.75390625" style="0" customWidth="1"/>
    <col min="7685" max="7686" width="12.75390625" style="0" customWidth="1"/>
    <col min="7687" max="7687" width="9.00390625" style="0" hidden="1" customWidth="1"/>
    <col min="7688" max="7689" width="12.75390625" style="0" customWidth="1"/>
    <col min="7690" max="7690" width="9.00390625" style="0" hidden="1" customWidth="1"/>
    <col min="7691" max="7691" width="16.625" style="0" customWidth="1"/>
    <col min="7692" max="7692" width="13.125" style="0" customWidth="1"/>
    <col min="7693" max="7694" width="12.75390625" style="0" customWidth="1"/>
    <col min="7695" max="7695" width="22.375" style="0" customWidth="1"/>
    <col min="7934" max="7934" width="6.625" style="0" customWidth="1"/>
    <col min="7935" max="7935" width="5.625" style="0" customWidth="1"/>
    <col min="7936" max="7936" width="30.125" style="0" customWidth="1"/>
    <col min="7937" max="7937" width="13.625" style="0" customWidth="1"/>
    <col min="7938" max="7938" width="13.25390625" style="0" customWidth="1"/>
    <col min="7939" max="7940" width="16.75390625" style="0" customWidth="1"/>
    <col min="7941" max="7942" width="12.75390625" style="0" customWidth="1"/>
    <col min="7943" max="7943" width="9.00390625" style="0" hidden="1" customWidth="1"/>
    <col min="7944" max="7945" width="12.75390625" style="0" customWidth="1"/>
    <col min="7946" max="7946" width="9.00390625" style="0" hidden="1" customWidth="1"/>
    <col min="7947" max="7947" width="16.625" style="0" customWidth="1"/>
    <col min="7948" max="7948" width="13.125" style="0" customWidth="1"/>
    <col min="7949" max="7950" width="12.75390625" style="0" customWidth="1"/>
    <col min="7951" max="7951" width="22.375" style="0" customWidth="1"/>
    <col min="8190" max="8190" width="6.625" style="0" customWidth="1"/>
    <col min="8191" max="8191" width="5.625" style="0" customWidth="1"/>
    <col min="8192" max="8192" width="30.125" style="0" customWidth="1"/>
    <col min="8193" max="8193" width="13.625" style="0" customWidth="1"/>
    <col min="8194" max="8194" width="13.25390625" style="0" customWidth="1"/>
    <col min="8195" max="8196" width="16.75390625" style="0" customWidth="1"/>
    <col min="8197" max="8198" width="12.75390625" style="0" customWidth="1"/>
    <col min="8199" max="8199" width="9.00390625" style="0" hidden="1" customWidth="1"/>
    <col min="8200" max="8201" width="12.75390625" style="0" customWidth="1"/>
    <col min="8202" max="8202" width="9.00390625" style="0" hidden="1" customWidth="1"/>
    <col min="8203" max="8203" width="16.625" style="0" customWidth="1"/>
    <col min="8204" max="8204" width="13.125" style="0" customWidth="1"/>
    <col min="8205" max="8206" width="12.75390625" style="0" customWidth="1"/>
    <col min="8207" max="8207" width="22.375" style="0" customWidth="1"/>
    <col min="8446" max="8446" width="6.625" style="0" customWidth="1"/>
    <col min="8447" max="8447" width="5.625" style="0" customWidth="1"/>
    <col min="8448" max="8448" width="30.125" style="0" customWidth="1"/>
    <col min="8449" max="8449" width="13.625" style="0" customWidth="1"/>
    <col min="8450" max="8450" width="13.25390625" style="0" customWidth="1"/>
    <col min="8451" max="8452" width="16.75390625" style="0" customWidth="1"/>
    <col min="8453" max="8454" width="12.75390625" style="0" customWidth="1"/>
    <col min="8455" max="8455" width="9.00390625" style="0" hidden="1" customWidth="1"/>
    <col min="8456" max="8457" width="12.75390625" style="0" customWidth="1"/>
    <col min="8458" max="8458" width="9.00390625" style="0" hidden="1" customWidth="1"/>
    <col min="8459" max="8459" width="16.625" style="0" customWidth="1"/>
    <col min="8460" max="8460" width="13.125" style="0" customWidth="1"/>
    <col min="8461" max="8462" width="12.75390625" style="0" customWidth="1"/>
    <col min="8463" max="8463" width="22.375" style="0" customWidth="1"/>
    <col min="8702" max="8702" width="6.625" style="0" customWidth="1"/>
    <col min="8703" max="8703" width="5.625" style="0" customWidth="1"/>
    <col min="8704" max="8704" width="30.125" style="0" customWidth="1"/>
    <col min="8705" max="8705" width="13.625" style="0" customWidth="1"/>
    <col min="8706" max="8706" width="13.25390625" style="0" customWidth="1"/>
    <col min="8707" max="8708" width="16.75390625" style="0" customWidth="1"/>
    <col min="8709" max="8710" width="12.75390625" style="0" customWidth="1"/>
    <col min="8711" max="8711" width="9.00390625" style="0" hidden="1" customWidth="1"/>
    <col min="8712" max="8713" width="12.75390625" style="0" customWidth="1"/>
    <col min="8714" max="8714" width="9.00390625" style="0" hidden="1" customWidth="1"/>
    <col min="8715" max="8715" width="16.625" style="0" customWidth="1"/>
    <col min="8716" max="8716" width="13.125" style="0" customWidth="1"/>
    <col min="8717" max="8718" width="12.75390625" style="0" customWidth="1"/>
    <col min="8719" max="8719" width="22.375" style="0" customWidth="1"/>
    <col min="8958" max="8958" width="6.625" style="0" customWidth="1"/>
    <col min="8959" max="8959" width="5.625" style="0" customWidth="1"/>
    <col min="8960" max="8960" width="30.125" style="0" customWidth="1"/>
    <col min="8961" max="8961" width="13.625" style="0" customWidth="1"/>
    <col min="8962" max="8962" width="13.25390625" style="0" customWidth="1"/>
    <col min="8963" max="8964" width="16.75390625" style="0" customWidth="1"/>
    <col min="8965" max="8966" width="12.75390625" style="0" customWidth="1"/>
    <col min="8967" max="8967" width="9.00390625" style="0" hidden="1" customWidth="1"/>
    <col min="8968" max="8969" width="12.75390625" style="0" customWidth="1"/>
    <col min="8970" max="8970" width="9.00390625" style="0" hidden="1" customWidth="1"/>
    <col min="8971" max="8971" width="16.625" style="0" customWidth="1"/>
    <col min="8972" max="8972" width="13.125" style="0" customWidth="1"/>
    <col min="8973" max="8974" width="12.75390625" style="0" customWidth="1"/>
    <col min="8975" max="8975" width="22.375" style="0" customWidth="1"/>
    <col min="9214" max="9214" width="6.625" style="0" customWidth="1"/>
    <col min="9215" max="9215" width="5.625" style="0" customWidth="1"/>
    <col min="9216" max="9216" width="30.125" style="0" customWidth="1"/>
    <col min="9217" max="9217" width="13.625" style="0" customWidth="1"/>
    <col min="9218" max="9218" width="13.25390625" style="0" customWidth="1"/>
    <col min="9219" max="9220" width="16.75390625" style="0" customWidth="1"/>
    <col min="9221" max="9222" width="12.75390625" style="0" customWidth="1"/>
    <col min="9223" max="9223" width="9.00390625" style="0" hidden="1" customWidth="1"/>
    <col min="9224" max="9225" width="12.75390625" style="0" customWidth="1"/>
    <col min="9226" max="9226" width="9.00390625" style="0" hidden="1" customWidth="1"/>
    <col min="9227" max="9227" width="16.625" style="0" customWidth="1"/>
    <col min="9228" max="9228" width="13.125" style="0" customWidth="1"/>
    <col min="9229" max="9230" width="12.75390625" style="0" customWidth="1"/>
    <col min="9231" max="9231" width="22.375" style="0" customWidth="1"/>
    <col min="9470" max="9470" width="6.625" style="0" customWidth="1"/>
    <col min="9471" max="9471" width="5.625" style="0" customWidth="1"/>
    <col min="9472" max="9472" width="30.125" style="0" customWidth="1"/>
    <col min="9473" max="9473" width="13.625" style="0" customWidth="1"/>
    <col min="9474" max="9474" width="13.25390625" style="0" customWidth="1"/>
    <col min="9475" max="9476" width="16.75390625" style="0" customWidth="1"/>
    <col min="9477" max="9478" width="12.75390625" style="0" customWidth="1"/>
    <col min="9479" max="9479" width="9.00390625" style="0" hidden="1" customWidth="1"/>
    <col min="9480" max="9481" width="12.75390625" style="0" customWidth="1"/>
    <col min="9482" max="9482" width="9.00390625" style="0" hidden="1" customWidth="1"/>
    <col min="9483" max="9483" width="16.625" style="0" customWidth="1"/>
    <col min="9484" max="9484" width="13.125" style="0" customWidth="1"/>
    <col min="9485" max="9486" width="12.75390625" style="0" customWidth="1"/>
    <col min="9487" max="9487" width="22.375" style="0" customWidth="1"/>
    <col min="9726" max="9726" width="6.625" style="0" customWidth="1"/>
    <col min="9727" max="9727" width="5.625" style="0" customWidth="1"/>
    <col min="9728" max="9728" width="30.125" style="0" customWidth="1"/>
    <col min="9729" max="9729" width="13.625" style="0" customWidth="1"/>
    <col min="9730" max="9730" width="13.25390625" style="0" customWidth="1"/>
    <col min="9731" max="9732" width="16.75390625" style="0" customWidth="1"/>
    <col min="9733" max="9734" width="12.75390625" style="0" customWidth="1"/>
    <col min="9735" max="9735" width="9.00390625" style="0" hidden="1" customWidth="1"/>
    <col min="9736" max="9737" width="12.75390625" style="0" customWidth="1"/>
    <col min="9738" max="9738" width="9.00390625" style="0" hidden="1" customWidth="1"/>
    <col min="9739" max="9739" width="16.625" style="0" customWidth="1"/>
    <col min="9740" max="9740" width="13.125" style="0" customWidth="1"/>
    <col min="9741" max="9742" width="12.75390625" style="0" customWidth="1"/>
    <col min="9743" max="9743" width="22.375" style="0" customWidth="1"/>
    <col min="9982" max="9982" width="6.625" style="0" customWidth="1"/>
    <col min="9983" max="9983" width="5.625" style="0" customWidth="1"/>
    <col min="9984" max="9984" width="30.125" style="0" customWidth="1"/>
    <col min="9985" max="9985" width="13.625" style="0" customWidth="1"/>
    <col min="9986" max="9986" width="13.25390625" style="0" customWidth="1"/>
    <col min="9987" max="9988" width="16.75390625" style="0" customWidth="1"/>
    <col min="9989" max="9990" width="12.75390625" style="0" customWidth="1"/>
    <col min="9991" max="9991" width="9.00390625" style="0" hidden="1" customWidth="1"/>
    <col min="9992" max="9993" width="12.75390625" style="0" customWidth="1"/>
    <col min="9994" max="9994" width="9.00390625" style="0" hidden="1" customWidth="1"/>
    <col min="9995" max="9995" width="16.625" style="0" customWidth="1"/>
    <col min="9996" max="9996" width="13.125" style="0" customWidth="1"/>
    <col min="9997" max="9998" width="12.75390625" style="0" customWidth="1"/>
    <col min="9999" max="9999" width="22.375" style="0" customWidth="1"/>
    <col min="10238" max="10238" width="6.625" style="0" customWidth="1"/>
    <col min="10239" max="10239" width="5.625" style="0" customWidth="1"/>
    <col min="10240" max="10240" width="30.125" style="0" customWidth="1"/>
    <col min="10241" max="10241" width="13.625" style="0" customWidth="1"/>
    <col min="10242" max="10242" width="13.25390625" style="0" customWidth="1"/>
    <col min="10243" max="10244" width="16.75390625" style="0" customWidth="1"/>
    <col min="10245" max="10246" width="12.75390625" style="0" customWidth="1"/>
    <col min="10247" max="10247" width="9.00390625" style="0" hidden="1" customWidth="1"/>
    <col min="10248" max="10249" width="12.75390625" style="0" customWidth="1"/>
    <col min="10250" max="10250" width="9.00390625" style="0" hidden="1" customWidth="1"/>
    <col min="10251" max="10251" width="16.625" style="0" customWidth="1"/>
    <col min="10252" max="10252" width="13.125" style="0" customWidth="1"/>
    <col min="10253" max="10254" width="12.75390625" style="0" customWidth="1"/>
    <col min="10255" max="10255" width="22.375" style="0" customWidth="1"/>
    <col min="10494" max="10494" width="6.625" style="0" customWidth="1"/>
    <col min="10495" max="10495" width="5.625" style="0" customWidth="1"/>
    <col min="10496" max="10496" width="30.125" style="0" customWidth="1"/>
    <col min="10497" max="10497" width="13.625" style="0" customWidth="1"/>
    <col min="10498" max="10498" width="13.25390625" style="0" customWidth="1"/>
    <col min="10499" max="10500" width="16.75390625" style="0" customWidth="1"/>
    <col min="10501" max="10502" width="12.75390625" style="0" customWidth="1"/>
    <col min="10503" max="10503" width="9.00390625" style="0" hidden="1" customWidth="1"/>
    <col min="10504" max="10505" width="12.75390625" style="0" customWidth="1"/>
    <col min="10506" max="10506" width="9.00390625" style="0" hidden="1" customWidth="1"/>
    <col min="10507" max="10507" width="16.625" style="0" customWidth="1"/>
    <col min="10508" max="10508" width="13.125" style="0" customWidth="1"/>
    <col min="10509" max="10510" width="12.75390625" style="0" customWidth="1"/>
    <col min="10511" max="10511" width="22.375" style="0" customWidth="1"/>
    <col min="10750" max="10750" width="6.625" style="0" customWidth="1"/>
    <col min="10751" max="10751" width="5.625" style="0" customWidth="1"/>
    <col min="10752" max="10752" width="30.125" style="0" customWidth="1"/>
    <col min="10753" max="10753" width="13.625" style="0" customWidth="1"/>
    <col min="10754" max="10754" width="13.25390625" style="0" customWidth="1"/>
    <col min="10755" max="10756" width="16.75390625" style="0" customWidth="1"/>
    <col min="10757" max="10758" width="12.75390625" style="0" customWidth="1"/>
    <col min="10759" max="10759" width="9.00390625" style="0" hidden="1" customWidth="1"/>
    <col min="10760" max="10761" width="12.75390625" style="0" customWidth="1"/>
    <col min="10762" max="10762" width="9.00390625" style="0" hidden="1" customWidth="1"/>
    <col min="10763" max="10763" width="16.625" style="0" customWidth="1"/>
    <col min="10764" max="10764" width="13.125" style="0" customWidth="1"/>
    <col min="10765" max="10766" width="12.75390625" style="0" customWidth="1"/>
    <col min="10767" max="10767" width="22.375" style="0" customWidth="1"/>
    <col min="11006" max="11006" width="6.625" style="0" customWidth="1"/>
    <col min="11007" max="11007" width="5.625" style="0" customWidth="1"/>
    <col min="11008" max="11008" width="30.125" style="0" customWidth="1"/>
    <col min="11009" max="11009" width="13.625" style="0" customWidth="1"/>
    <col min="11010" max="11010" width="13.25390625" style="0" customWidth="1"/>
    <col min="11011" max="11012" width="16.75390625" style="0" customWidth="1"/>
    <col min="11013" max="11014" width="12.75390625" style="0" customWidth="1"/>
    <col min="11015" max="11015" width="9.00390625" style="0" hidden="1" customWidth="1"/>
    <col min="11016" max="11017" width="12.75390625" style="0" customWidth="1"/>
    <col min="11018" max="11018" width="9.00390625" style="0" hidden="1" customWidth="1"/>
    <col min="11019" max="11019" width="16.625" style="0" customWidth="1"/>
    <col min="11020" max="11020" width="13.125" style="0" customWidth="1"/>
    <col min="11021" max="11022" width="12.75390625" style="0" customWidth="1"/>
    <col min="11023" max="11023" width="22.375" style="0" customWidth="1"/>
    <col min="11262" max="11262" width="6.625" style="0" customWidth="1"/>
    <col min="11263" max="11263" width="5.625" style="0" customWidth="1"/>
    <col min="11264" max="11264" width="30.125" style="0" customWidth="1"/>
    <col min="11265" max="11265" width="13.625" style="0" customWidth="1"/>
    <col min="11266" max="11266" width="13.25390625" style="0" customWidth="1"/>
    <col min="11267" max="11268" width="16.75390625" style="0" customWidth="1"/>
    <col min="11269" max="11270" width="12.75390625" style="0" customWidth="1"/>
    <col min="11271" max="11271" width="9.00390625" style="0" hidden="1" customWidth="1"/>
    <col min="11272" max="11273" width="12.75390625" style="0" customWidth="1"/>
    <col min="11274" max="11274" width="9.00390625" style="0" hidden="1" customWidth="1"/>
    <col min="11275" max="11275" width="16.625" style="0" customWidth="1"/>
    <col min="11276" max="11276" width="13.125" style="0" customWidth="1"/>
    <col min="11277" max="11278" width="12.75390625" style="0" customWidth="1"/>
    <col min="11279" max="11279" width="22.375" style="0" customWidth="1"/>
    <col min="11518" max="11518" width="6.625" style="0" customWidth="1"/>
    <col min="11519" max="11519" width="5.625" style="0" customWidth="1"/>
    <col min="11520" max="11520" width="30.125" style="0" customWidth="1"/>
    <col min="11521" max="11521" width="13.625" style="0" customWidth="1"/>
    <col min="11522" max="11522" width="13.25390625" style="0" customWidth="1"/>
    <col min="11523" max="11524" width="16.75390625" style="0" customWidth="1"/>
    <col min="11525" max="11526" width="12.75390625" style="0" customWidth="1"/>
    <col min="11527" max="11527" width="9.00390625" style="0" hidden="1" customWidth="1"/>
    <col min="11528" max="11529" width="12.75390625" style="0" customWidth="1"/>
    <col min="11530" max="11530" width="9.00390625" style="0" hidden="1" customWidth="1"/>
    <col min="11531" max="11531" width="16.625" style="0" customWidth="1"/>
    <col min="11532" max="11532" width="13.125" style="0" customWidth="1"/>
    <col min="11533" max="11534" width="12.75390625" style="0" customWidth="1"/>
    <col min="11535" max="11535" width="22.375" style="0" customWidth="1"/>
    <col min="11774" max="11774" width="6.625" style="0" customWidth="1"/>
    <col min="11775" max="11775" width="5.625" style="0" customWidth="1"/>
    <col min="11776" max="11776" width="30.125" style="0" customWidth="1"/>
    <col min="11777" max="11777" width="13.625" style="0" customWidth="1"/>
    <col min="11778" max="11778" width="13.25390625" style="0" customWidth="1"/>
    <col min="11779" max="11780" width="16.75390625" style="0" customWidth="1"/>
    <col min="11781" max="11782" width="12.75390625" style="0" customWidth="1"/>
    <col min="11783" max="11783" width="9.00390625" style="0" hidden="1" customWidth="1"/>
    <col min="11784" max="11785" width="12.75390625" style="0" customWidth="1"/>
    <col min="11786" max="11786" width="9.00390625" style="0" hidden="1" customWidth="1"/>
    <col min="11787" max="11787" width="16.625" style="0" customWidth="1"/>
    <col min="11788" max="11788" width="13.125" style="0" customWidth="1"/>
    <col min="11789" max="11790" width="12.75390625" style="0" customWidth="1"/>
    <col min="11791" max="11791" width="22.375" style="0" customWidth="1"/>
    <col min="12030" max="12030" width="6.625" style="0" customWidth="1"/>
    <col min="12031" max="12031" width="5.625" style="0" customWidth="1"/>
    <col min="12032" max="12032" width="30.125" style="0" customWidth="1"/>
    <col min="12033" max="12033" width="13.625" style="0" customWidth="1"/>
    <col min="12034" max="12034" width="13.25390625" style="0" customWidth="1"/>
    <col min="12035" max="12036" width="16.75390625" style="0" customWidth="1"/>
    <col min="12037" max="12038" width="12.75390625" style="0" customWidth="1"/>
    <col min="12039" max="12039" width="9.00390625" style="0" hidden="1" customWidth="1"/>
    <col min="12040" max="12041" width="12.75390625" style="0" customWidth="1"/>
    <col min="12042" max="12042" width="9.00390625" style="0" hidden="1" customWidth="1"/>
    <col min="12043" max="12043" width="16.625" style="0" customWidth="1"/>
    <col min="12044" max="12044" width="13.125" style="0" customWidth="1"/>
    <col min="12045" max="12046" width="12.75390625" style="0" customWidth="1"/>
    <col min="12047" max="12047" width="22.375" style="0" customWidth="1"/>
    <col min="12286" max="12286" width="6.625" style="0" customWidth="1"/>
    <col min="12287" max="12287" width="5.625" style="0" customWidth="1"/>
    <col min="12288" max="12288" width="30.125" style="0" customWidth="1"/>
    <col min="12289" max="12289" width="13.625" style="0" customWidth="1"/>
    <col min="12290" max="12290" width="13.25390625" style="0" customWidth="1"/>
    <col min="12291" max="12292" width="16.75390625" style="0" customWidth="1"/>
    <col min="12293" max="12294" width="12.75390625" style="0" customWidth="1"/>
    <col min="12295" max="12295" width="9.00390625" style="0" hidden="1" customWidth="1"/>
    <col min="12296" max="12297" width="12.75390625" style="0" customWidth="1"/>
    <col min="12298" max="12298" width="9.00390625" style="0" hidden="1" customWidth="1"/>
    <col min="12299" max="12299" width="16.625" style="0" customWidth="1"/>
    <col min="12300" max="12300" width="13.125" style="0" customWidth="1"/>
    <col min="12301" max="12302" width="12.75390625" style="0" customWidth="1"/>
    <col min="12303" max="12303" width="22.375" style="0" customWidth="1"/>
    <col min="12542" max="12542" width="6.625" style="0" customWidth="1"/>
    <col min="12543" max="12543" width="5.625" style="0" customWidth="1"/>
    <col min="12544" max="12544" width="30.125" style="0" customWidth="1"/>
    <col min="12545" max="12545" width="13.625" style="0" customWidth="1"/>
    <col min="12546" max="12546" width="13.25390625" style="0" customWidth="1"/>
    <col min="12547" max="12548" width="16.75390625" style="0" customWidth="1"/>
    <col min="12549" max="12550" width="12.75390625" style="0" customWidth="1"/>
    <col min="12551" max="12551" width="9.00390625" style="0" hidden="1" customWidth="1"/>
    <col min="12552" max="12553" width="12.75390625" style="0" customWidth="1"/>
    <col min="12554" max="12554" width="9.00390625" style="0" hidden="1" customWidth="1"/>
    <col min="12555" max="12555" width="16.625" style="0" customWidth="1"/>
    <col min="12556" max="12556" width="13.125" style="0" customWidth="1"/>
    <col min="12557" max="12558" width="12.75390625" style="0" customWidth="1"/>
    <col min="12559" max="12559" width="22.375" style="0" customWidth="1"/>
    <col min="12798" max="12798" width="6.625" style="0" customWidth="1"/>
    <col min="12799" max="12799" width="5.625" style="0" customWidth="1"/>
    <col min="12800" max="12800" width="30.125" style="0" customWidth="1"/>
    <col min="12801" max="12801" width="13.625" style="0" customWidth="1"/>
    <col min="12802" max="12802" width="13.25390625" style="0" customWidth="1"/>
    <col min="12803" max="12804" width="16.75390625" style="0" customWidth="1"/>
    <col min="12805" max="12806" width="12.75390625" style="0" customWidth="1"/>
    <col min="12807" max="12807" width="9.00390625" style="0" hidden="1" customWidth="1"/>
    <col min="12808" max="12809" width="12.75390625" style="0" customWidth="1"/>
    <col min="12810" max="12810" width="9.00390625" style="0" hidden="1" customWidth="1"/>
    <col min="12811" max="12811" width="16.625" style="0" customWidth="1"/>
    <col min="12812" max="12812" width="13.125" style="0" customWidth="1"/>
    <col min="12813" max="12814" width="12.75390625" style="0" customWidth="1"/>
    <col min="12815" max="12815" width="22.375" style="0" customWidth="1"/>
    <col min="13054" max="13054" width="6.625" style="0" customWidth="1"/>
    <col min="13055" max="13055" width="5.625" style="0" customWidth="1"/>
    <col min="13056" max="13056" width="30.125" style="0" customWidth="1"/>
    <col min="13057" max="13057" width="13.625" style="0" customWidth="1"/>
    <col min="13058" max="13058" width="13.25390625" style="0" customWidth="1"/>
    <col min="13059" max="13060" width="16.75390625" style="0" customWidth="1"/>
    <col min="13061" max="13062" width="12.75390625" style="0" customWidth="1"/>
    <col min="13063" max="13063" width="9.00390625" style="0" hidden="1" customWidth="1"/>
    <col min="13064" max="13065" width="12.75390625" style="0" customWidth="1"/>
    <col min="13066" max="13066" width="9.00390625" style="0" hidden="1" customWidth="1"/>
    <col min="13067" max="13067" width="16.625" style="0" customWidth="1"/>
    <col min="13068" max="13068" width="13.125" style="0" customWidth="1"/>
    <col min="13069" max="13070" width="12.75390625" style="0" customWidth="1"/>
    <col min="13071" max="13071" width="22.375" style="0" customWidth="1"/>
    <col min="13310" max="13310" width="6.625" style="0" customWidth="1"/>
    <col min="13311" max="13311" width="5.625" style="0" customWidth="1"/>
    <col min="13312" max="13312" width="30.125" style="0" customWidth="1"/>
    <col min="13313" max="13313" width="13.625" style="0" customWidth="1"/>
    <col min="13314" max="13314" width="13.25390625" style="0" customWidth="1"/>
    <col min="13315" max="13316" width="16.75390625" style="0" customWidth="1"/>
    <col min="13317" max="13318" width="12.75390625" style="0" customWidth="1"/>
    <col min="13319" max="13319" width="9.00390625" style="0" hidden="1" customWidth="1"/>
    <col min="13320" max="13321" width="12.75390625" style="0" customWidth="1"/>
    <col min="13322" max="13322" width="9.00390625" style="0" hidden="1" customWidth="1"/>
    <col min="13323" max="13323" width="16.625" style="0" customWidth="1"/>
    <col min="13324" max="13324" width="13.125" style="0" customWidth="1"/>
    <col min="13325" max="13326" width="12.75390625" style="0" customWidth="1"/>
    <col min="13327" max="13327" width="22.375" style="0" customWidth="1"/>
    <col min="13566" max="13566" width="6.625" style="0" customWidth="1"/>
    <col min="13567" max="13567" width="5.625" style="0" customWidth="1"/>
    <col min="13568" max="13568" width="30.125" style="0" customWidth="1"/>
    <col min="13569" max="13569" width="13.625" style="0" customWidth="1"/>
    <col min="13570" max="13570" width="13.25390625" style="0" customWidth="1"/>
    <col min="13571" max="13572" width="16.75390625" style="0" customWidth="1"/>
    <col min="13573" max="13574" width="12.75390625" style="0" customWidth="1"/>
    <col min="13575" max="13575" width="9.00390625" style="0" hidden="1" customWidth="1"/>
    <col min="13576" max="13577" width="12.75390625" style="0" customWidth="1"/>
    <col min="13578" max="13578" width="9.00390625" style="0" hidden="1" customWidth="1"/>
    <col min="13579" max="13579" width="16.625" style="0" customWidth="1"/>
    <col min="13580" max="13580" width="13.125" style="0" customWidth="1"/>
    <col min="13581" max="13582" width="12.75390625" style="0" customWidth="1"/>
    <col min="13583" max="13583" width="22.375" style="0" customWidth="1"/>
    <col min="13822" max="13822" width="6.625" style="0" customWidth="1"/>
    <col min="13823" max="13823" width="5.625" style="0" customWidth="1"/>
    <col min="13824" max="13824" width="30.125" style="0" customWidth="1"/>
    <col min="13825" max="13825" width="13.625" style="0" customWidth="1"/>
    <col min="13826" max="13826" width="13.25390625" style="0" customWidth="1"/>
    <col min="13827" max="13828" width="16.75390625" style="0" customWidth="1"/>
    <col min="13829" max="13830" width="12.75390625" style="0" customWidth="1"/>
    <col min="13831" max="13831" width="9.00390625" style="0" hidden="1" customWidth="1"/>
    <col min="13832" max="13833" width="12.75390625" style="0" customWidth="1"/>
    <col min="13834" max="13834" width="9.00390625" style="0" hidden="1" customWidth="1"/>
    <col min="13835" max="13835" width="16.625" style="0" customWidth="1"/>
    <col min="13836" max="13836" width="13.125" style="0" customWidth="1"/>
    <col min="13837" max="13838" width="12.75390625" style="0" customWidth="1"/>
    <col min="13839" max="13839" width="22.375" style="0" customWidth="1"/>
    <col min="14078" max="14078" width="6.625" style="0" customWidth="1"/>
    <col min="14079" max="14079" width="5.625" style="0" customWidth="1"/>
    <col min="14080" max="14080" width="30.125" style="0" customWidth="1"/>
    <col min="14081" max="14081" width="13.625" style="0" customWidth="1"/>
    <col min="14082" max="14082" width="13.25390625" style="0" customWidth="1"/>
    <col min="14083" max="14084" width="16.75390625" style="0" customWidth="1"/>
    <col min="14085" max="14086" width="12.75390625" style="0" customWidth="1"/>
    <col min="14087" max="14087" width="9.00390625" style="0" hidden="1" customWidth="1"/>
    <col min="14088" max="14089" width="12.75390625" style="0" customWidth="1"/>
    <col min="14090" max="14090" width="9.00390625" style="0" hidden="1" customWidth="1"/>
    <col min="14091" max="14091" width="16.625" style="0" customWidth="1"/>
    <col min="14092" max="14092" width="13.125" style="0" customWidth="1"/>
    <col min="14093" max="14094" width="12.75390625" style="0" customWidth="1"/>
    <col min="14095" max="14095" width="22.375" style="0" customWidth="1"/>
    <col min="14334" max="14334" width="6.625" style="0" customWidth="1"/>
    <col min="14335" max="14335" width="5.625" style="0" customWidth="1"/>
    <col min="14336" max="14336" width="30.125" style="0" customWidth="1"/>
    <col min="14337" max="14337" width="13.625" style="0" customWidth="1"/>
    <col min="14338" max="14338" width="13.25390625" style="0" customWidth="1"/>
    <col min="14339" max="14340" width="16.75390625" style="0" customWidth="1"/>
    <col min="14341" max="14342" width="12.75390625" style="0" customWidth="1"/>
    <col min="14343" max="14343" width="9.00390625" style="0" hidden="1" customWidth="1"/>
    <col min="14344" max="14345" width="12.75390625" style="0" customWidth="1"/>
    <col min="14346" max="14346" width="9.00390625" style="0" hidden="1" customWidth="1"/>
    <col min="14347" max="14347" width="16.625" style="0" customWidth="1"/>
    <col min="14348" max="14348" width="13.125" style="0" customWidth="1"/>
    <col min="14349" max="14350" width="12.75390625" style="0" customWidth="1"/>
    <col min="14351" max="14351" width="22.375" style="0" customWidth="1"/>
    <col min="14590" max="14590" width="6.625" style="0" customWidth="1"/>
    <col min="14591" max="14591" width="5.625" style="0" customWidth="1"/>
    <col min="14592" max="14592" width="30.125" style="0" customWidth="1"/>
    <col min="14593" max="14593" width="13.625" style="0" customWidth="1"/>
    <col min="14594" max="14594" width="13.25390625" style="0" customWidth="1"/>
    <col min="14595" max="14596" width="16.75390625" style="0" customWidth="1"/>
    <col min="14597" max="14598" width="12.75390625" style="0" customWidth="1"/>
    <col min="14599" max="14599" width="9.00390625" style="0" hidden="1" customWidth="1"/>
    <col min="14600" max="14601" width="12.75390625" style="0" customWidth="1"/>
    <col min="14602" max="14602" width="9.00390625" style="0" hidden="1" customWidth="1"/>
    <col min="14603" max="14603" width="16.625" style="0" customWidth="1"/>
    <col min="14604" max="14604" width="13.125" style="0" customWidth="1"/>
    <col min="14605" max="14606" width="12.75390625" style="0" customWidth="1"/>
    <col min="14607" max="14607" width="22.375" style="0" customWidth="1"/>
    <col min="14846" max="14846" width="6.625" style="0" customWidth="1"/>
    <col min="14847" max="14847" width="5.625" style="0" customWidth="1"/>
    <col min="14848" max="14848" width="30.125" style="0" customWidth="1"/>
    <col min="14849" max="14849" width="13.625" style="0" customWidth="1"/>
    <col min="14850" max="14850" width="13.25390625" style="0" customWidth="1"/>
    <col min="14851" max="14852" width="16.75390625" style="0" customWidth="1"/>
    <col min="14853" max="14854" width="12.75390625" style="0" customWidth="1"/>
    <col min="14855" max="14855" width="9.00390625" style="0" hidden="1" customWidth="1"/>
    <col min="14856" max="14857" width="12.75390625" style="0" customWidth="1"/>
    <col min="14858" max="14858" width="9.00390625" style="0" hidden="1" customWidth="1"/>
    <col min="14859" max="14859" width="16.625" style="0" customWidth="1"/>
    <col min="14860" max="14860" width="13.125" style="0" customWidth="1"/>
    <col min="14861" max="14862" width="12.75390625" style="0" customWidth="1"/>
    <col min="14863" max="14863" width="22.375" style="0" customWidth="1"/>
    <col min="15102" max="15102" width="6.625" style="0" customWidth="1"/>
    <col min="15103" max="15103" width="5.625" style="0" customWidth="1"/>
    <col min="15104" max="15104" width="30.125" style="0" customWidth="1"/>
    <col min="15105" max="15105" width="13.625" style="0" customWidth="1"/>
    <col min="15106" max="15106" width="13.25390625" style="0" customWidth="1"/>
    <col min="15107" max="15108" width="16.75390625" style="0" customWidth="1"/>
    <col min="15109" max="15110" width="12.75390625" style="0" customWidth="1"/>
    <col min="15111" max="15111" width="9.00390625" style="0" hidden="1" customWidth="1"/>
    <col min="15112" max="15113" width="12.75390625" style="0" customWidth="1"/>
    <col min="15114" max="15114" width="9.00390625" style="0" hidden="1" customWidth="1"/>
    <col min="15115" max="15115" width="16.625" style="0" customWidth="1"/>
    <col min="15116" max="15116" width="13.125" style="0" customWidth="1"/>
    <col min="15117" max="15118" width="12.75390625" style="0" customWidth="1"/>
    <col min="15119" max="15119" width="22.375" style="0" customWidth="1"/>
    <col min="15358" max="15358" width="6.625" style="0" customWidth="1"/>
    <col min="15359" max="15359" width="5.625" style="0" customWidth="1"/>
    <col min="15360" max="15360" width="30.125" style="0" customWidth="1"/>
    <col min="15361" max="15361" width="13.625" style="0" customWidth="1"/>
    <col min="15362" max="15362" width="13.25390625" style="0" customWidth="1"/>
    <col min="15363" max="15364" width="16.75390625" style="0" customWidth="1"/>
    <col min="15365" max="15366" width="12.75390625" style="0" customWidth="1"/>
    <col min="15367" max="15367" width="9.00390625" style="0" hidden="1" customWidth="1"/>
    <col min="15368" max="15369" width="12.75390625" style="0" customWidth="1"/>
    <col min="15370" max="15370" width="9.00390625" style="0" hidden="1" customWidth="1"/>
    <col min="15371" max="15371" width="16.625" style="0" customWidth="1"/>
    <col min="15372" max="15372" width="13.125" style="0" customWidth="1"/>
    <col min="15373" max="15374" width="12.75390625" style="0" customWidth="1"/>
    <col min="15375" max="15375" width="22.375" style="0" customWidth="1"/>
    <col min="15614" max="15614" width="6.625" style="0" customWidth="1"/>
    <col min="15615" max="15615" width="5.625" style="0" customWidth="1"/>
    <col min="15616" max="15616" width="30.125" style="0" customWidth="1"/>
    <col min="15617" max="15617" width="13.625" style="0" customWidth="1"/>
    <col min="15618" max="15618" width="13.25390625" style="0" customWidth="1"/>
    <col min="15619" max="15620" width="16.75390625" style="0" customWidth="1"/>
    <col min="15621" max="15622" width="12.75390625" style="0" customWidth="1"/>
    <col min="15623" max="15623" width="9.00390625" style="0" hidden="1" customWidth="1"/>
    <col min="15624" max="15625" width="12.75390625" style="0" customWidth="1"/>
    <col min="15626" max="15626" width="9.00390625" style="0" hidden="1" customWidth="1"/>
    <col min="15627" max="15627" width="16.625" style="0" customWidth="1"/>
    <col min="15628" max="15628" width="13.125" style="0" customWidth="1"/>
    <col min="15629" max="15630" width="12.75390625" style="0" customWidth="1"/>
    <col min="15631" max="15631" width="22.375" style="0" customWidth="1"/>
    <col min="15870" max="15870" width="6.625" style="0" customWidth="1"/>
    <col min="15871" max="15871" width="5.625" style="0" customWidth="1"/>
    <col min="15872" max="15872" width="30.125" style="0" customWidth="1"/>
    <col min="15873" max="15873" width="13.625" style="0" customWidth="1"/>
    <col min="15874" max="15874" width="13.25390625" style="0" customWidth="1"/>
    <col min="15875" max="15876" width="16.75390625" style="0" customWidth="1"/>
    <col min="15877" max="15878" width="12.75390625" style="0" customWidth="1"/>
    <col min="15879" max="15879" width="9.00390625" style="0" hidden="1" customWidth="1"/>
    <col min="15880" max="15881" width="12.75390625" style="0" customWidth="1"/>
    <col min="15882" max="15882" width="9.00390625" style="0" hidden="1" customWidth="1"/>
    <col min="15883" max="15883" width="16.625" style="0" customWidth="1"/>
    <col min="15884" max="15884" width="13.125" style="0" customWidth="1"/>
    <col min="15885" max="15886" width="12.75390625" style="0" customWidth="1"/>
    <col min="15887" max="15887" width="22.375" style="0" customWidth="1"/>
    <col min="16126" max="16126" width="6.625" style="0" customWidth="1"/>
    <col min="16127" max="16127" width="5.625" style="0" customWidth="1"/>
    <col min="16128" max="16128" width="30.125" style="0" customWidth="1"/>
    <col min="16129" max="16129" width="13.625" style="0" customWidth="1"/>
    <col min="16130" max="16130" width="13.25390625" style="0" customWidth="1"/>
    <col min="16131" max="16132" width="16.75390625" style="0" customWidth="1"/>
    <col min="16133" max="16134" width="12.75390625" style="0" customWidth="1"/>
    <col min="16135" max="16135" width="9.00390625" style="0" hidden="1" customWidth="1"/>
    <col min="16136" max="16137" width="12.75390625" style="0" customWidth="1"/>
    <col min="16138" max="16138" width="9.00390625" style="0" hidden="1" customWidth="1"/>
    <col min="16139" max="16139" width="16.625" style="0" customWidth="1"/>
    <col min="16140" max="16140" width="13.125" style="0" customWidth="1"/>
    <col min="16141" max="16142" width="12.75390625" style="0" customWidth="1"/>
    <col min="16143" max="16143" width="22.375" style="0" customWidth="1"/>
  </cols>
  <sheetData>
    <row r="1" spans="2:15" ht="15.75" customHeight="1">
      <c r="B1" s="398"/>
      <c r="C1" s="29"/>
      <c r="D1" s="29"/>
      <c r="E1" s="2147" t="s">
        <v>273</v>
      </c>
      <c r="F1" s="2147"/>
      <c r="G1" s="2147"/>
      <c r="H1" s="2147"/>
      <c r="I1" s="2147"/>
      <c r="J1" s="2147"/>
      <c r="K1" s="2147"/>
      <c r="L1" s="2147"/>
      <c r="M1" s="2147"/>
      <c r="N1" s="108"/>
      <c r="O1" s="472"/>
    </row>
    <row r="2" spans="2:15" ht="15.75">
      <c r="B2" s="29"/>
      <c r="C2" s="29"/>
      <c r="D2" s="29"/>
      <c r="E2" s="2147" t="s">
        <v>41</v>
      </c>
      <c r="F2" s="2147"/>
      <c r="G2" s="2147"/>
      <c r="H2" s="2147"/>
      <c r="I2" s="2147"/>
      <c r="J2" s="2147"/>
      <c r="K2" s="2147"/>
      <c r="L2" s="2147"/>
      <c r="M2" s="2147"/>
      <c r="N2" s="108"/>
      <c r="O2" s="472"/>
    </row>
    <row r="3" spans="2:15" ht="15.75">
      <c r="B3" s="29"/>
      <c r="C3" s="29"/>
      <c r="D3" s="29"/>
      <c r="E3" s="2147" t="s">
        <v>188</v>
      </c>
      <c r="F3" s="2147"/>
      <c r="G3" s="2147"/>
      <c r="H3" s="2147"/>
      <c r="I3" s="2147"/>
      <c r="J3" s="2147"/>
      <c r="K3" s="2147"/>
      <c r="L3" s="2147"/>
      <c r="M3" s="2147"/>
      <c r="N3" s="108"/>
      <c r="O3" s="472"/>
    </row>
    <row r="4" spans="2:15" ht="15.75">
      <c r="B4" s="29"/>
      <c r="C4" s="29"/>
      <c r="D4" s="29"/>
      <c r="E4" s="29"/>
      <c r="F4" s="29"/>
      <c r="G4" s="398"/>
      <c r="H4" s="30"/>
      <c r="I4" s="30"/>
      <c r="J4" s="30"/>
      <c r="K4" s="30"/>
      <c r="L4" s="30"/>
      <c r="M4" s="108"/>
      <c r="N4" s="108"/>
      <c r="O4" s="472"/>
    </row>
    <row r="5" spans="2:15" ht="15.75">
      <c r="B5" s="29"/>
      <c r="C5" s="29"/>
      <c r="D5" s="29"/>
      <c r="E5" s="2147" t="s">
        <v>236</v>
      </c>
      <c r="F5" s="2147"/>
      <c r="G5" s="2147"/>
      <c r="H5" s="2147"/>
      <c r="I5" s="2147"/>
      <c r="J5" s="2147"/>
      <c r="K5" s="2147"/>
      <c r="L5" s="2147"/>
      <c r="M5" s="2147"/>
      <c r="N5" s="29"/>
      <c r="O5" s="29"/>
    </row>
    <row r="6" spans="2:15" ht="15.75">
      <c r="B6" s="29"/>
      <c r="C6" s="29"/>
      <c r="D6" s="29"/>
      <c r="E6" s="29"/>
      <c r="F6" s="29"/>
      <c r="G6" s="398"/>
      <c r="H6" s="29"/>
      <c r="I6" s="29"/>
      <c r="J6" s="29"/>
      <c r="K6" s="29"/>
      <c r="L6" s="29"/>
      <c r="M6" s="29"/>
      <c r="N6" s="29"/>
      <c r="O6" s="29"/>
    </row>
    <row r="7" spans="2:15" ht="15.75">
      <c r="B7" s="2140" t="s">
        <v>707</v>
      </c>
      <c r="C7" s="2140"/>
      <c r="D7" s="2140"/>
      <c r="E7" s="2140"/>
      <c r="F7" s="2140"/>
      <c r="G7" s="2140"/>
      <c r="H7" s="2140"/>
      <c r="I7" s="2140"/>
      <c r="J7" s="2140"/>
      <c r="K7" s="2140"/>
      <c r="L7" s="2140"/>
      <c r="M7" s="2140"/>
      <c r="N7" s="401"/>
      <c r="O7" s="399"/>
    </row>
    <row r="8" spans="2:15" ht="15.75">
      <c r="B8" s="1903" t="s">
        <v>2</v>
      </c>
      <c r="C8" s="1903"/>
      <c r="D8" s="1903"/>
      <c r="E8" s="1903"/>
      <c r="F8" s="1903"/>
      <c r="G8" s="1903"/>
      <c r="H8" s="1903"/>
      <c r="I8" s="1903"/>
      <c r="J8" s="1903"/>
      <c r="K8" s="1903"/>
      <c r="L8" s="1903"/>
      <c r="M8" s="1903"/>
      <c r="N8" s="399"/>
      <c r="O8" s="399"/>
    </row>
    <row r="9" spans="2:15" ht="16.5" thickBot="1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2:15" ht="39.75" customHeight="1">
      <c r="B10" s="2141" t="s">
        <v>128</v>
      </c>
      <c r="C10" s="2143" t="s">
        <v>6</v>
      </c>
      <c r="D10" s="2026" t="s">
        <v>274</v>
      </c>
      <c r="E10" s="473" t="s">
        <v>275</v>
      </c>
      <c r="F10" s="475" t="s">
        <v>279</v>
      </c>
      <c r="G10" s="474" t="s">
        <v>276</v>
      </c>
      <c r="H10" s="722" t="s">
        <v>277</v>
      </c>
      <c r="I10" s="2145" t="s">
        <v>274</v>
      </c>
      <c r="J10" s="722" t="s">
        <v>281</v>
      </c>
      <c r="K10" s="2145" t="s">
        <v>274</v>
      </c>
      <c r="L10" s="2128" t="s">
        <v>278</v>
      </c>
      <c r="M10" s="721" t="s">
        <v>577</v>
      </c>
      <c r="N10" s="2148" t="s">
        <v>274</v>
      </c>
      <c r="O10" s="1947" t="s">
        <v>49</v>
      </c>
    </row>
    <row r="11" spans="2:15" ht="16.5" thickBot="1">
      <c r="B11" s="2142"/>
      <c r="C11" s="2144"/>
      <c r="D11" s="2027"/>
      <c r="E11" s="476" t="s">
        <v>129</v>
      </c>
      <c r="F11" s="477" t="s">
        <v>280</v>
      </c>
      <c r="G11" s="477" t="s">
        <v>129</v>
      </c>
      <c r="H11" s="477" t="s">
        <v>129</v>
      </c>
      <c r="I11" s="2146"/>
      <c r="J11" s="477" t="s">
        <v>145</v>
      </c>
      <c r="K11" s="2146"/>
      <c r="L11" s="2130"/>
      <c r="M11" s="815" t="s">
        <v>145</v>
      </c>
      <c r="N11" s="2149"/>
      <c r="O11" s="2042"/>
    </row>
    <row r="12" spans="2:15" ht="10.5" customHeight="1" thickBot="1">
      <c r="B12" s="478"/>
      <c r="C12" s="479"/>
      <c r="D12" s="480"/>
      <c r="E12" s="481"/>
      <c r="F12" s="483"/>
      <c r="G12" s="482"/>
      <c r="H12" s="482"/>
      <c r="I12" s="482"/>
      <c r="J12" s="482"/>
      <c r="K12" s="484"/>
      <c r="L12" s="484"/>
      <c r="M12" s="485"/>
      <c r="N12" s="484"/>
      <c r="O12" s="485"/>
    </row>
    <row r="13" spans="2:15" ht="15.75">
      <c r="B13" s="486">
        <v>1</v>
      </c>
      <c r="C13" s="487" t="s">
        <v>330</v>
      </c>
      <c r="D13" s="809">
        <f aca="true" t="shared" si="0" ref="D13:D74">F13</f>
        <v>4.901624</v>
      </c>
      <c r="E13" s="805">
        <f aca="true" t="shared" si="1" ref="E13:E44">G13+M13</f>
        <v>4</v>
      </c>
      <c r="F13" s="808">
        <f aca="true" t="shared" si="2" ref="F13:F74">I13+K13+N13</f>
        <v>4.901624</v>
      </c>
      <c r="G13" s="806">
        <f aca="true" t="shared" si="3" ref="G13:G44">H13+J13</f>
        <v>4</v>
      </c>
      <c r="H13" s="807">
        <v>2</v>
      </c>
      <c r="I13" s="808">
        <f aca="true" t="shared" si="4" ref="I13:I44">1.2005*H13</f>
        <v>2.401</v>
      </c>
      <c r="J13" s="807">
        <v>2</v>
      </c>
      <c r="K13" s="808">
        <f aca="true" t="shared" si="5" ref="K13:K44">1.250312*J13</f>
        <v>2.500624</v>
      </c>
      <c r="L13" s="810"/>
      <c r="M13" s="816">
        <v>0</v>
      </c>
      <c r="N13" s="812">
        <f aca="true" t="shared" si="6" ref="N13:N44">0.271415*M13</f>
        <v>0</v>
      </c>
      <c r="O13" s="489"/>
    </row>
    <row r="14" spans="2:15" ht="15.75">
      <c r="B14" s="486">
        <f aca="true" t="shared" si="7" ref="B14:B81">B13+1</f>
        <v>2</v>
      </c>
      <c r="C14" s="487" t="s">
        <v>118</v>
      </c>
      <c r="D14" s="809">
        <f t="shared" si="0"/>
        <v>0.271415</v>
      </c>
      <c r="E14" s="805">
        <f t="shared" si="1"/>
        <v>1</v>
      </c>
      <c r="F14" s="808">
        <f t="shared" si="2"/>
        <v>0.271415</v>
      </c>
      <c r="G14" s="806">
        <f t="shared" si="3"/>
        <v>0</v>
      </c>
      <c r="H14" s="807"/>
      <c r="I14" s="808">
        <f t="shared" si="4"/>
        <v>0</v>
      </c>
      <c r="J14" s="807">
        <v>0</v>
      </c>
      <c r="K14" s="808">
        <f t="shared" si="5"/>
        <v>0</v>
      </c>
      <c r="L14" s="811"/>
      <c r="M14" s="816">
        <v>1</v>
      </c>
      <c r="N14" s="812">
        <f t="shared" si="6"/>
        <v>0.271415</v>
      </c>
      <c r="O14" s="489" t="s">
        <v>419</v>
      </c>
    </row>
    <row r="15" spans="2:15" ht="15.75">
      <c r="B15" s="486">
        <f t="shared" si="7"/>
        <v>3</v>
      </c>
      <c r="C15" s="487" t="s">
        <v>76</v>
      </c>
      <c r="D15" s="809">
        <f t="shared" si="0"/>
        <v>6.151936</v>
      </c>
      <c r="E15" s="805">
        <f t="shared" si="1"/>
        <v>5</v>
      </c>
      <c r="F15" s="808">
        <f t="shared" si="2"/>
        <v>6.151936</v>
      </c>
      <c r="G15" s="806">
        <f t="shared" si="3"/>
        <v>5</v>
      </c>
      <c r="H15" s="807">
        <v>2</v>
      </c>
      <c r="I15" s="808">
        <f t="shared" si="4"/>
        <v>2.401</v>
      </c>
      <c r="J15" s="807">
        <v>3</v>
      </c>
      <c r="K15" s="808">
        <f t="shared" si="5"/>
        <v>3.7509360000000003</v>
      </c>
      <c r="L15" s="811" t="s">
        <v>423</v>
      </c>
      <c r="M15" s="816">
        <v>0</v>
      </c>
      <c r="N15" s="812">
        <f t="shared" si="6"/>
        <v>0</v>
      </c>
      <c r="O15" s="505"/>
    </row>
    <row r="16" spans="2:15" ht="15.75">
      <c r="B16" s="486">
        <f t="shared" si="7"/>
        <v>4</v>
      </c>
      <c r="C16" s="487" t="s">
        <v>29</v>
      </c>
      <c r="D16" s="809">
        <f t="shared" si="0"/>
        <v>1.250312</v>
      </c>
      <c r="E16" s="805">
        <f t="shared" si="1"/>
        <v>1</v>
      </c>
      <c r="F16" s="808">
        <f t="shared" si="2"/>
        <v>1.250312</v>
      </c>
      <c r="G16" s="806">
        <f t="shared" si="3"/>
        <v>1</v>
      </c>
      <c r="H16" s="807"/>
      <c r="I16" s="808">
        <f t="shared" si="4"/>
        <v>0</v>
      </c>
      <c r="J16" s="807">
        <v>1</v>
      </c>
      <c r="K16" s="808">
        <f t="shared" si="5"/>
        <v>1.250312</v>
      </c>
      <c r="L16" s="810"/>
      <c r="M16" s="816">
        <v>0</v>
      </c>
      <c r="N16" s="812">
        <f t="shared" si="6"/>
        <v>0</v>
      </c>
      <c r="O16" s="489"/>
    </row>
    <row r="17" spans="2:15" ht="15.75">
      <c r="B17" s="486">
        <f t="shared" si="7"/>
        <v>5</v>
      </c>
      <c r="C17" s="487" t="s">
        <v>27</v>
      </c>
      <c r="D17" s="809">
        <f t="shared" si="0"/>
        <v>380.849</v>
      </c>
      <c r="E17" s="805">
        <f aca="true" t="shared" si="8" ref="E17">G17+M17</f>
        <v>20</v>
      </c>
      <c r="F17" s="808">
        <f t="shared" si="2"/>
        <v>380.849</v>
      </c>
      <c r="G17" s="806">
        <f t="shared" si="3"/>
        <v>20</v>
      </c>
      <c r="H17" s="807"/>
      <c r="I17" s="808"/>
      <c r="J17" s="807">
        <v>20</v>
      </c>
      <c r="K17" s="808">
        <f>J17*19.04245</f>
        <v>380.849</v>
      </c>
      <c r="L17" s="810" t="s">
        <v>677</v>
      </c>
      <c r="M17" s="816"/>
      <c r="N17" s="812"/>
      <c r="O17" s="489"/>
    </row>
    <row r="18" spans="2:15" ht="15.75">
      <c r="B18" s="486">
        <f t="shared" si="7"/>
        <v>6</v>
      </c>
      <c r="C18" s="487" t="s">
        <v>55</v>
      </c>
      <c r="D18" s="809">
        <f t="shared" si="0"/>
        <v>2.401</v>
      </c>
      <c r="E18" s="805">
        <f t="shared" si="1"/>
        <v>2</v>
      </c>
      <c r="F18" s="808">
        <f t="shared" si="2"/>
        <v>2.401</v>
      </c>
      <c r="G18" s="806">
        <f t="shared" si="3"/>
        <v>2</v>
      </c>
      <c r="H18" s="807">
        <v>2</v>
      </c>
      <c r="I18" s="808">
        <f t="shared" si="4"/>
        <v>2.401</v>
      </c>
      <c r="J18" s="807">
        <v>0</v>
      </c>
      <c r="K18" s="808">
        <f t="shared" si="5"/>
        <v>0</v>
      </c>
      <c r="L18" s="810"/>
      <c r="M18" s="816">
        <v>0</v>
      </c>
      <c r="N18" s="812">
        <f t="shared" si="6"/>
        <v>0</v>
      </c>
      <c r="O18" s="489"/>
    </row>
    <row r="19" spans="2:15" ht="15.75">
      <c r="B19" s="486">
        <f t="shared" si="7"/>
        <v>7</v>
      </c>
      <c r="C19" s="487" t="s">
        <v>30</v>
      </c>
      <c r="D19" s="809">
        <f t="shared" si="0"/>
        <v>6.0024999999999995</v>
      </c>
      <c r="E19" s="805">
        <f t="shared" si="1"/>
        <v>5</v>
      </c>
      <c r="F19" s="808">
        <f t="shared" si="2"/>
        <v>6.0024999999999995</v>
      </c>
      <c r="G19" s="806">
        <f t="shared" si="3"/>
        <v>5</v>
      </c>
      <c r="H19" s="807">
        <v>5</v>
      </c>
      <c r="I19" s="808">
        <f t="shared" si="4"/>
        <v>6.0024999999999995</v>
      </c>
      <c r="J19" s="807">
        <v>0</v>
      </c>
      <c r="K19" s="808">
        <f t="shared" si="5"/>
        <v>0</v>
      </c>
      <c r="L19" s="811"/>
      <c r="M19" s="816">
        <v>0</v>
      </c>
      <c r="N19" s="812">
        <f t="shared" si="6"/>
        <v>0</v>
      </c>
      <c r="O19" s="490"/>
    </row>
    <row r="20" spans="2:15" ht="15.75">
      <c r="B20" s="486">
        <f t="shared" si="7"/>
        <v>8</v>
      </c>
      <c r="C20" s="487" t="s">
        <v>77</v>
      </c>
      <c r="D20" s="809">
        <f t="shared" si="0"/>
        <v>0.271415</v>
      </c>
      <c r="E20" s="805">
        <f t="shared" si="1"/>
        <v>1</v>
      </c>
      <c r="F20" s="808">
        <f t="shared" si="2"/>
        <v>0.271415</v>
      </c>
      <c r="G20" s="806">
        <f t="shared" si="3"/>
        <v>0</v>
      </c>
      <c r="H20" s="807"/>
      <c r="I20" s="808">
        <f t="shared" si="4"/>
        <v>0</v>
      </c>
      <c r="J20" s="807">
        <v>0</v>
      </c>
      <c r="K20" s="808">
        <f t="shared" si="5"/>
        <v>0</v>
      </c>
      <c r="L20" s="811"/>
      <c r="M20" s="816">
        <v>1</v>
      </c>
      <c r="N20" s="812">
        <f t="shared" si="6"/>
        <v>0.271415</v>
      </c>
      <c r="O20" s="490"/>
    </row>
    <row r="21" spans="2:15" ht="15.75">
      <c r="B21" s="486">
        <f t="shared" si="7"/>
        <v>9</v>
      </c>
      <c r="C21" s="491" t="s">
        <v>358</v>
      </c>
      <c r="D21" s="809">
        <f t="shared" si="0"/>
        <v>0.54283</v>
      </c>
      <c r="E21" s="805">
        <f t="shared" si="1"/>
        <v>2</v>
      </c>
      <c r="F21" s="808">
        <f t="shared" si="2"/>
        <v>0.54283</v>
      </c>
      <c r="G21" s="806">
        <f t="shared" si="3"/>
        <v>0</v>
      </c>
      <c r="H21" s="807"/>
      <c r="I21" s="808">
        <f t="shared" si="4"/>
        <v>0</v>
      </c>
      <c r="J21" s="807">
        <v>0</v>
      </c>
      <c r="K21" s="808">
        <f t="shared" si="5"/>
        <v>0</v>
      </c>
      <c r="L21" s="811"/>
      <c r="M21" s="816">
        <v>2</v>
      </c>
      <c r="N21" s="812">
        <f t="shared" si="6"/>
        <v>0.54283</v>
      </c>
      <c r="O21" s="489"/>
    </row>
    <row r="22" spans="2:15" ht="15.75">
      <c r="B22" s="486">
        <f t="shared" si="7"/>
        <v>10</v>
      </c>
      <c r="C22" s="487" t="s">
        <v>36</v>
      </c>
      <c r="D22" s="809">
        <f t="shared" si="0"/>
        <v>10.8566</v>
      </c>
      <c r="E22" s="805">
        <f t="shared" si="1"/>
        <v>40</v>
      </c>
      <c r="F22" s="808">
        <f t="shared" si="2"/>
        <v>10.8566</v>
      </c>
      <c r="G22" s="806">
        <f t="shared" si="3"/>
        <v>0</v>
      </c>
      <c r="H22" s="807"/>
      <c r="I22" s="808">
        <f t="shared" si="4"/>
        <v>0</v>
      </c>
      <c r="J22" s="807">
        <v>0</v>
      </c>
      <c r="K22" s="808">
        <f t="shared" si="5"/>
        <v>0</v>
      </c>
      <c r="L22" s="811"/>
      <c r="M22" s="816">
        <v>40</v>
      </c>
      <c r="N22" s="812">
        <f t="shared" si="6"/>
        <v>10.8566</v>
      </c>
      <c r="O22" s="489" t="s">
        <v>547</v>
      </c>
    </row>
    <row r="23" spans="2:15" ht="15.75">
      <c r="B23" s="486">
        <f t="shared" si="7"/>
        <v>11</v>
      </c>
      <c r="C23" s="487" t="s">
        <v>573</v>
      </c>
      <c r="D23" s="809">
        <f t="shared" si="0"/>
        <v>2.17132</v>
      </c>
      <c r="E23" s="805">
        <f t="shared" si="1"/>
        <v>8</v>
      </c>
      <c r="F23" s="808">
        <f t="shared" si="2"/>
        <v>2.17132</v>
      </c>
      <c r="G23" s="806">
        <f t="shared" si="3"/>
        <v>0</v>
      </c>
      <c r="H23" s="807"/>
      <c r="I23" s="808">
        <f t="shared" si="4"/>
        <v>0</v>
      </c>
      <c r="J23" s="807">
        <v>0</v>
      </c>
      <c r="K23" s="808">
        <f t="shared" si="5"/>
        <v>0</v>
      </c>
      <c r="L23" s="811"/>
      <c r="M23" s="816">
        <v>8</v>
      </c>
      <c r="N23" s="812">
        <f t="shared" si="6"/>
        <v>2.17132</v>
      </c>
      <c r="O23" s="489" t="s">
        <v>547</v>
      </c>
    </row>
    <row r="24" spans="2:15" ht="15.75">
      <c r="B24" s="486">
        <f t="shared" si="7"/>
        <v>12</v>
      </c>
      <c r="C24" s="487" t="s">
        <v>573</v>
      </c>
      <c r="D24" s="809">
        <f t="shared" si="0"/>
        <v>3.6014999999999997</v>
      </c>
      <c r="E24" s="805">
        <f t="shared" si="1"/>
        <v>3</v>
      </c>
      <c r="F24" s="808">
        <f t="shared" si="2"/>
        <v>3.6014999999999997</v>
      </c>
      <c r="G24" s="806">
        <f t="shared" si="3"/>
        <v>3</v>
      </c>
      <c r="H24" s="807">
        <v>3</v>
      </c>
      <c r="I24" s="808">
        <f t="shared" si="4"/>
        <v>3.6014999999999997</v>
      </c>
      <c r="J24" s="807">
        <v>0</v>
      </c>
      <c r="K24" s="808">
        <f t="shared" si="5"/>
        <v>0</v>
      </c>
      <c r="L24" s="811"/>
      <c r="M24" s="816"/>
      <c r="N24" s="812">
        <f t="shared" si="6"/>
        <v>0</v>
      </c>
      <c r="O24" s="489"/>
    </row>
    <row r="25" spans="2:15" ht="15.75">
      <c r="B25" s="486">
        <f t="shared" si="7"/>
        <v>13</v>
      </c>
      <c r="C25" s="487" t="s">
        <v>266</v>
      </c>
      <c r="D25" s="809">
        <f t="shared" si="0"/>
        <v>2.17132</v>
      </c>
      <c r="E25" s="805">
        <f t="shared" si="1"/>
        <v>8</v>
      </c>
      <c r="F25" s="808">
        <f t="shared" si="2"/>
        <v>2.17132</v>
      </c>
      <c r="G25" s="806">
        <f t="shared" si="3"/>
        <v>0</v>
      </c>
      <c r="H25" s="807"/>
      <c r="I25" s="808">
        <f t="shared" si="4"/>
        <v>0</v>
      </c>
      <c r="J25" s="807">
        <v>0</v>
      </c>
      <c r="K25" s="808">
        <f t="shared" si="5"/>
        <v>0</v>
      </c>
      <c r="L25" s="811"/>
      <c r="M25" s="816">
        <v>8</v>
      </c>
      <c r="N25" s="812">
        <f t="shared" si="6"/>
        <v>2.17132</v>
      </c>
      <c r="O25" s="489" t="s">
        <v>547</v>
      </c>
    </row>
    <row r="26" spans="2:15" ht="15.75">
      <c r="B26" s="486">
        <f t="shared" si="7"/>
        <v>14</v>
      </c>
      <c r="C26" s="487" t="s">
        <v>511</v>
      </c>
      <c r="D26" s="809">
        <f t="shared" si="0"/>
        <v>1.08566</v>
      </c>
      <c r="E26" s="805">
        <f t="shared" si="1"/>
        <v>4</v>
      </c>
      <c r="F26" s="808">
        <f t="shared" si="2"/>
        <v>1.08566</v>
      </c>
      <c r="G26" s="806">
        <f t="shared" si="3"/>
        <v>0</v>
      </c>
      <c r="H26" s="807"/>
      <c r="I26" s="808">
        <f t="shared" si="4"/>
        <v>0</v>
      </c>
      <c r="J26" s="807">
        <v>0</v>
      </c>
      <c r="K26" s="808">
        <f t="shared" si="5"/>
        <v>0</v>
      </c>
      <c r="L26" s="811"/>
      <c r="M26" s="816">
        <v>4</v>
      </c>
      <c r="N26" s="812">
        <f t="shared" si="6"/>
        <v>1.08566</v>
      </c>
      <c r="O26" s="488"/>
    </row>
    <row r="27" spans="2:15" ht="15.75">
      <c r="B27" s="486">
        <f t="shared" si="7"/>
        <v>15</v>
      </c>
      <c r="C27" s="487" t="s">
        <v>409</v>
      </c>
      <c r="D27" s="809">
        <f t="shared" si="0"/>
        <v>2.401</v>
      </c>
      <c r="E27" s="805">
        <f t="shared" si="1"/>
        <v>2</v>
      </c>
      <c r="F27" s="808">
        <f t="shared" si="2"/>
        <v>2.401</v>
      </c>
      <c r="G27" s="806">
        <f t="shared" si="3"/>
        <v>2</v>
      </c>
      <c r="H27" s="807">
        <v>2</v>
      </c>
      <c r="I27" s="808">
        <f t="shared" si="4"/>
        <v>2.401</v>
      </c>
      <c r="J27" s="807">
        <v>0</v>
      </c>
      <c r="K27" s="808">
        <f t="shared" si="5"/>
        <v>0</v>
      </c>
      <c r="L27" s="811" t="s">
        <v>404</v>
      </c>
      <c r="M27" s="816">
        <v>0</v>
      </c>
      <c r="N27" s="812">
        <f t="shared" si="6"/>
        <v>0</v>
      </c>
      <c r="O27" s="490"/>
    </row>
    <row r="28" spans="2:15" ht="15.75">
      <c r="B28" s="486">
        <f t="shared" si="7"/>
        <v>16</v>
      </c>
      <c r="C28" s="487" t="s">
        <v>120</v>
      </c>
      <c r="D28" s="809">
        <f t="shared" si="0"/>
        <v>0.271415</v>
      </c>
      <c r="E28" s="805">
        <f t="shared" si="1"/>
        <v>1</v>
      </c>
      <c r="F28" s="808">
        <f t="shared" si="2"/>
        <v>0.271415</v>
      </c>
      <c r="G28" s="806">
        <f t="shared" si="3"/>
        <v>0</v>
      </c>
      <c r="H28" s="807">
        <v>0</v>
      </c>
      <c r="I28" s="808">
        <f t="shared" si="4"/>
        <v>0</v>
      </c>
      <c r="J28" s="807">
        <v>0</v>
      </c>
      <c r="K28" s="808">
        <f t="shared" si="5"/>
        <v>0</v>
      </c>
      <c r="L28" s="811"/>
      <c r="M28" s="816">
        <v>1</v>
      </c>
      <c r="N28" s="812">
        <f t="shared" si="6"/>
        <v>0.271415</v>
      </c>
      <c r="O28" s="489"/>
    </row>
    <row r="29" spans="2:15" ht="15.75">
      <c r="B29" s="486">
        <f t="shared" si="7"/>
        <v>17</v>
      </c>
      <c r="C29" s="487" t="s">
        <v>121</v>
      </c>
      <c r="D29" s="809">
        <f t="shared" si="0"/>
        <v>0.54283</v>
      </c>
      <c r="E29" s="805">
        <f t="shared" si="1"/>
        <v>2</v>
      </c>
      <c r="F29" s="808">
        <f t="shared" si="2"/>
        <v>0.54283</v>
      </c>
      <c r="G29" s="806">
        <f t="shared" si="3"/>
        <v>0</v>
      </c>
      <c r="H29" s="807">
        <v>0</v>
      </c>
      <c r="I29" s="808">
        <f t="shared" si="4"/>
        <v>0</v>
      </c>
      <c r="J29" s="807">
        <v>0</v>
      </c>
      <c r="K29" s="808">
        <f t="shared" si="5"/>
        <v>0</v>
      </c>
      <c r="L29" s="811"/>
      <c r="M29" s="816">
        <v>2</v>
      </c>
      <c r="N29" s="812">
        <f t="shared" si="6"/>
        <v>0.54283</v>
      </c>
      <c r="O29" s="489" t="s">
        <v>408</v>
      </c>
    </row>
    <row r="30" spans="2:15" ht="15.75">
      <c r="B30" s="486">
        <f t="shared" si="7"/>
        <v>18</v>
      </c>
      <c r="C30" s="491" t="s">
        <v>62</v>
      </c>
      <c r="D30" s="809">
        <f t="shared" si="0"/>
        <v>0.54283</v>
      </c>
      <c r="E30" s="805">
        <f t="shared" si="1"/>
        <v>2</v>
      </c>
      <c r="F30" s="808">
        <f t="shared" si="2"/>
        <v>0.54283</v>
      </c>
      <c r="G30" s="806">
        <f t="shared" si="3"/>
        <v>0</v>
      </c>
      <c r="H30" s="807"/>
      <c r="I30" s="808">
        <f t="shared" si="4"/>
        <v>0</v>
      </c>
      <c r="J30" s="807">
        <v>0</v>
      </c>
      <c r="K30" s="808">
        <f t="shared" si="5"/>
        <v>0</v>
      </c>
      <c r="L30" s="811"/>
      <c r="M30" s="816">
        <v>2</v>
      </c>
      <c r="N30" s="812">
        <f t="shared" si="6"/>
        <v>0.54283</v>
      </c>
      <c r="O30" s="489"/>
    </row>
    <row r="31" spans="2:15" ht="15.75">
      <c r="B31" s="486">
        <f t="shared" si="7"/>
        <v>19</v>
      </c>
      <c r="C31" s="487" t="s">
        <v>415</v>
      </c>
      <c r="D31" s="809">
        <f t="shared" si="0"/>
        <v>2.401</v>
      </c>
      <c r="E31" s="805">
        <f t="shared" si="1"/>
        <v>2</v>
      </c>
      <c r="F31" s="808">
        <f t="shared" si="2"/>
        <v>2.401</v>
      </c>
      <c r="G31" s="806">
        <f t="shared" si="3"/>
        <v>2</v>
      </c>
      <c r="H31" s="807">
        <v>2</v>
      </c>
      <c r="I31" s="808">
        <f t="shared" si="4"/>
        <v>2.401</v>
      </c>
      <c r="J31" s="807">
        <v>0</v>
      </c>
      <c r="K31" s="808">
        <f t="shared" si="5"/>
        <v>0</v>
      </c>
      <c r="L31" s="811"/>
      <c r="M31" s="816">
        <v>0</v>
      </c>
      <c r="N31" s="812">
        <f t="shared" si="6"/>
        <v>0</v>
      </c>
      <c r="O31" s="490"/>
    </row>
    <row r="32" spans="2:15" ht="15.75">
      <c r="B32" s="486">
        <f t="shared" si="7"/>
        <v>20</v>
      </c>
      <c r="C32" s="487" t="s">
        <v>122</v>
      </c>
      <c r="D32" s="809">
        <f t="shared" si="0"/>
        <v>0.54283</v>
      </c>
      <c r="E32" s="805">
        <f t="shared" si="1"/>
        <v>2</v>
      </c>
      <c r="F32" s="808">
        <f t="shared" si="2"/>
        <v>0.54283</v>
      </c>
      <c r="G32" s="806">
        <f t="shared" si="3"/>
        <v>0</v>
      </c>
      <c r="H32" s="807"/>
      <c r="I32" s="808">
        <f t="shared" si="4"/>
        <v>0</v>
      </c>
      <c r="J32" s="807">
        <v>0</v>
      </c>
      <c r="K32" s="808">
        <f t="shared" si="5"/>
        <v>0</v>
      </c>
      <c r="L32" s="811"/>
      <c r="M32" s="816">
        <v>2</v>
      </c>
      <c r="N32" s="812">
        <f t="shared" si="6"/>
        <v>0.54283</v>
      </c>
      <c r="O32" s="489"/>
    </row>
    <row r="33" spans="2:15" ht="15.75">
      <c r="B33" s="486">
        <f t="shared" si="7"/>
        <v>21</v>
      </c>
      <c r="C33" s="487" t="s">
        <v>325</v>
      </c>
      <c r="D33" s="809">
        <f t="shared" si="0"/>
        <v>3.2569800000000004</v>
      </c>
      <c r="E33" s="805">
        <f t="shared" si="1"/>
        <v>12</v>
      </c>
      <c r="F33" s="808">
        <f t="shared" si="2"/>
        <v>3.2569800000000004</v>
      </c>
      <c r="G33" s="806">
        <f t="shared" si="3"/>
        <v>0</v>
      </c>
      <c r="H33" s="807"/>
      <c r="I33" s="808">
        <f t="shared" si="4"/>
        <v>0</v>
      </c>
      <c r="J33" s="807">
        <v>0</v>
      </c>
      <c r="K33" s="808">
        <f t="shared" si="5"/>
        <v>0</v>
      </c>
      <c r="L33" s="811"/>
      <c r="M33" s="816">
        <v>12</v>
      </c>
      <c r="N33" s="812">
        <f t="shared" si="6"/>
        <v>3.2569800000000004</v>
      </c>
      <c r="O33" s="489"/>
    </row>
    <row r="34" spans="2:15" ht="15.75">
      <c r="B34" s="486">
        <f t="shared" si="7"/>
        <v>22</v>
      </c>
      <c r="C34" s="487" t="s">
        <v>284</v>
      </c>
      <c r="D34" s="809">
        <f t="shared" si="0"/>
        <v>10.8566</v>
      </c>
      <c r="E34" s="805">
        <f t="shared" si="1"/>
        <v>40</v>
      </c>
      <c r="F34" s="808">
        <f t="shared" si="2"/>
        <v>10.8566</v>
      </c>
      <c r="G34" s="806">
        <f t="shared" si="3"/>
        <v>0</v>
      </c>
      <c r="H34" s="807"/>
      <c r="I34" s="808">
        <f t="shared" si="4"/>
        <v>0</v>
      </c>
      <c r="J34" s="807">
        <v>0</v>
      </c>
      <c r="K34" s="808">
        <f t="shared" si="5"/>
        <v>0</v>
      </c>
      <c r="L34" s="811"/>
      <c r="M34" s="816">
        <v>40</v>
      </c>
      <c r="N34" s="812">
        <f t="shared" si="6"/>
        <v>10.8566</v>
      </c>
      <c r="O34" s="489" t="s">
        <v>547</v>
      </c>
    </row>
    <row r="35" spans="2:15" ht="15.75">
      <c r="B35" s="486">
        <f t="shared" si="7"/>
        <v>23</v>
      </c>
      <c r="C35" s="487" t="s">
        <v>106</v>
      </c>
      <c r="D35" s="809">
        <f t="shared" si="0"/>
        <v>4.6871599999999995</v>
      </c>
      <c r="E35" s="805">
        <f t="shared" si="1"/>
        <v>7</v>
      </c>
      <c r="F35" s="808">
        <f t="shared" si="2"/>
        <v>4.6871599999999995</v>
      </c>
      <c r="G35" s="806">
        <f t="shared" si="3"/>
        <v>3</v>
      </c>
      <c r="H35" s="807">
        <v>3</v>
      </c>
      <c r="I35" s="808">
        <f t="shared" si="4"/>
        <v>3.6014999999999997</v>
      </c>
      <c r="J35" s="807">
        <v>0</v>
      </c>
      <c r="K35" s="808">
        <f t="shared" si="5"/>
        <v>0</v>
      </c>
      <c r="L35" s="811"/>
      <c r="M35" s="816">
        <v>4</v>
      </c>
      <c r="N35" s="812">
        <f t="shared" si="6"/>
        <v>1.08566</v>
      </c>
      <c r="O35" s="489" t="s">
        <v>547</v>
      </c>
    </row>
    <row r="36" spans="2:15" ht="15.75">
      <c r="B36" s="486">
        <f t="shared" si="7"/>
        <v>24</v>
      </c>
      <c r="C36" s="487" t="s">
        <v>264</v>
      </c>
      <c r="D36" s="809">
        <f t="shared" si="0"/>
        <v>4.802</v>
      </c>
      <c r="E36" s="805">
        <f t="shared" si="1"/>
        <v>4</v>
      </c>
      <c r="F36" s="808">
        <f t="shared" si="2"/>
        <v>4.802</v>
      </c>
      <c r="G36" s="806">
        <f t="shared" si="3"/>
        <v>4</v>
      </c>
      <c r="H36" s="807">
        <v>4</v>
      </c>
      <c r="I36" s="808">
        <f t="shared" si="4"/>
        <v>4.802</v>
      </c>
      <c r="J36" s="807">
        <v>0</v>
      </c>
      <c r="K36" s="808">
        <f t="shared" si="5"/>
        <v>0</v>
      </c>
      <c r="L36" s="811"/>
      <c r="M36" s="816">
        <v>0</v>
      </c>
      <c r="N36" s="812">
        <f t="shared" si="6"/>
        <v>0</v>
      </c>
      <c r="O36" s="489"/>
    </row>
    <row r="37" spans="2:15" ht="15.75">
      <c r="B37" s="486">
        <f t="shared" si="7"/>
        <v>25</v>
      </c>
      <c r="C37" s="487" t="s">
        <v>138</v>
      </c>
      <c r="D37" s="809">
        <f t="shared" si="0"/>
        <v>2.9438299999999997</v>
      </c>
      <c r="E37" s="805">
        <f t="shared" si="1"/>
        <v>4</v>
      </c>
      <c r="F37" s="808">
        <f t="shared" si="2"/>
        <v>2.9438299999999997</v>
      </c>
      <c r="G37" s="806">
        <f t="shared" si="3"/>
        <v>2</v>
      </c>
      <c r="H37" s="807">
        <v>2</v>
      </c>
      <c r="I37" s="808">
        <f t="shared" si="4"/>
        <v>2.401</v>
      </c>
      <c r="J37" s="807">
        <v>0</v>
      </c>
      <c r="K37" s="808">
        <f t="shared" si="5"/>
        <v>0</v>
      </c>
      <c r="L37" s="811"/>
      <c r="M37" s="816">
        <v>2</v>
      </c>
      <c r="N37" s="812">
        <f t="shared" si="6"/>
        <v>0.54283</v>
      </c>
      <c r="O37" s="489" t="s">
        <v>547</v>
      </c>
    </row>
    <row r="38" spans="2:15" ht="15.75">
      <c r="B38" s="486">
        <f t="shared" si="7"/>
        <v>26</v>
      </c>
      <c r="C38" s="487" t="s">
        <v>265</v>
      </c>
      <c r="D38" s="809">
        <f t="shared" si="0"/>
        <v>2.9438299999999997</v>
      </c>
      <c r="E38" s="805">
        <f t="shared" si="1"/>
        <v>4</v>
      </c>
      <c r="F38" s="808">
        <f t="shared" si="2"/>
        <v>2.9438299999999997</v>
      </c>
      <c r="G38" s="806">
        <f t="shared" si="3"/>
        <v>2</v>
      </c>
      <c r="H38" s="807">
        <v>2</v>
      </c>
      <c r="I38" s="808">
        <f t="shared" si="4"/>
        <v>2.401</v>
      </c>
      <c r="J38" s="807">
        <v>0</v>
      </c>
      <c r="K38" s="808">
        <f t="shared" si="5"/>
        <v>0</v>
      </c>
      <c r="L38" s="811"/>
      <c r="M38" s="816">
        <v>2</v>
      </c>
      <c r="N38" s="812">
        <f t="shared" si="6"/>
        <v>0.54283</v>
      </c>
      <c r="O38" s="489" t="s">
        <v>547</v>
      </c>
    </row>
    <row r="39" spans="2:15" ht="15.75">
      <c r="B39" s="486">
        <f t="shared" si="7"/>
        <v>27</v>
      </c>
      <c r="C39" s="487" t="s">
        <v>139</v>
      </c>
      <c r="D39" s="809">
        <f t="shared" si="0"/>
        <v>0.54283</v>
      </c>
      <c r="E39" s="805">
        <f t="shared" si="1"/>
        <v>2</v>
      </c>
      <c r="F39" s="808">
        <f t="shared" si="2"/>
        <v>0.54283</v>
      </c>
      <c r="G39" s="806">
        <f t="shared" si="3"/>
        <v>0</v>
      </c>
      <c r="H39" s="807"/>
      <c r="I39" s="808">
        <f t="shared" si="4"/>
        <v>0</v>
      </c>
      <c r="J39" s="807">
        <v>0</v>
      </c>
      <c r="K39" s="808">
        <f t="shared" si="5"/>
        <v>0</v>
      </c>
      <c r="L39" s="811"/>
      <c r="M39" s="816">
        <v>2</v>
      </c>
      <c r="N39" s="812">
        <f t="shared" si="6"/>
        <v>0.54283</v>
      </c>
      <c r="O39" s="489" t="s">
        <v>547</v>
      </c>
    </row>
    <row r="40" spans="2:15" ht="15.75">
      <c r="B40" s="486">
        <f t="shared" si="7"/>
        <v>28</v>
      </c>
      <c r="C40" s="487" t="s">
        <v>162</v>
      </c>
      <c r="D40" s="809">
        <f t="shared" si="0"/>
        <v>7.202999999999999</v>
      </c>
      <c r="E40" s="805">
        <f t="shared" si="1"/>
        <v>6</v>
      </c>
      <c r="F40" s="808">
        <f t="shared" si="2"/>
        <v>7.202999999999999</v>
      </c>
      <c r="G40" s="806">
        <f t="shared" si="3"/>
        <v>6</v>
      </c>
      <c r="H40" s="807">
        <v>6</v>
      </c>
      <c r="I40" s="808">
        <f t="shared" si="4"/>
        <v>7.202999999999999</v>
      </c>
      <c r="J40" s="807">
        <v>0</v>
      </c>
      <c r="K40" s="808">
        <f t="shared" si="5"/>
        <v>0</v>
      </c>
      <c r="L40" s="811"/>
      <c r="M40" s="816"/>
      <c r="N40" s="812">
        <f t="shared" si="6"/>
        <v>0</v>
      </c>
      <c r="O40" s="489"/>
    </row>
    <row r="41" spans="2:15" ht="15.75">
      <c r="B41" s="486">
        <f t="shared" si="7"/>
        <v>29</v>
      </c>
      <c r="C41" s="487" t="s">
        <v>259</v>
      </c>
      <c r="D41" s="809">
        <f t="shared" si="0"/>
        <v>0.8142450000000001</v>
      </c>
      <c r="E41" s="805">
        <f t="shared" si="1"/>
        <v>3</v>
      </c>
      <c r="F41" s="808">
        <f t="shared" si="2"/>
        <v>0.8142450000000001</v>
      </c>
      <c r="G41" s="806">
        <f t="shared" si="3"/>
        <v>0</v>
      </c>
      <c r="H41" s="807"/>
      <c r="I41" s="808">
        <f t="shared" si="4"/>
        <v>0</v>
      </c>
      <c r="J41" s="807">
        <v>0</v>
      </c>
      <c r="K41" s="808">
        <f t="shared" si="5"/>
        <v>0</v>
      </c>
      <c r="L41" s="811"/>
      <c r="M41" s="816">
        <v>3</v>
      </c>
      <c r="N41" s="812">
        <f t="shared" si="6"/>
        <v>0.8142450000000001</v>
      </c>
      <c r="O41" s="489"/>
    </row>
    <row r="42" spans="2:15" ht="15.75">
      <c r="B42" s="486">
        <f t="shared" si="7"/>
        <v>30</v>
      </c>
      <c r="C42" s="687" t="s">
        <v>31</v>
      </c>
      <c r="D42" s="809">
        <f t="shared" si="0"/>
        <v>41.260296000000004</v>
      </c>
      <c r="E42" s="805">
        <f t="shared" si="1"/>
        <v>33</v>
      </c>
      <c r="F42" s="808">
        <f t="shared" si="2"/>
        <v>41.260296000000004</v>
      </c>
      <c r="G42" s="806">
        <f t="shared" si="3"/>
        <v>33</v>
      </c>
      <c r="H42" s="807"/>
      <c r="I42" s="808">
        <f t="shared" si="4"/>
        <v>0</v>
      </c>
      <c r="J42" s="807">
        <v>33</v>
      </c>
      <c r="K42" s="808">
        <f t="shared" si="5"/>
        <v>41.260296000000004</v>
      </c>
      <c r="L42" s="811" t="s">
        <v>615</v>
      </c>
      <c r="M42" s="816"/>
      <c r="N42" s="813">
        <f t="shared" si="6"/>
        <v>0</v>
      </c>
      <c r="O42" s="688"/>
    </row>
    <row r="43" spans="2:15" ht="15.75">
      <c r="B43" s="486">
        <f t="shared" si="7"/>
        <v>31</v>
      </c>
      <c r="C43" s="487" t="s">
        <v>441</v>
      </c>
      <c r="D43" s="809">
        <f t="shared" si="0"/>
        <v>4.515369</v>
      </c>
      <c r="E43" s="805">
        <f t="shared" si="1"/>
        <v>6</v>
      </c>
      <c r="F43" s="808">
        <f t="shared" si="2"/>
        <v>4.515369</v>
      </c>
      <c r="G43" s="806">
        <f t="shared" si="3"/>
        <v>3</v>
      </c>
      <c r="H43" s="807">
        <v>1</v>
      </c>
      <c r="I43" s="808">
        <f t="shared" si="4"/>
        <v>1.2005</v>
      </c>
      <c r="J43" s="807">
        <v>2</v>
      </c>
      <c r="K43" s="808">
        <f t="shared" si="5"/>
        <v>2.500624</v>
      </c>
      <c r="L43" s="811"/>
      <c r="M43" s="816">
        <v>3</v>
      </c>
      <c r="N43" s="812">
        <f t="shared" si="6"/>
        <v>0.8142450000000001</v>
      </c>
      <c r="O43" s="372"/>
    </row>
    <row r="44" spans="2:15" ht="15.75">
      <c r="B44" s="486">
        <f t="shared" si="7"/>
        <v>32</v>
      </c>
      <c r="C44" s="492" t="s">
        <v>443</v>
      </c>
      <c r="D44" s="809">
        <f t="shared" si="0"/>
        <v>16.076225</v>
      </c>
      <c r="E44" s="805">
        <f t="shared" si="1"/>
        <v>25</v>
      </c>
      <c r="F44" s="808">
        <f t="shared" si="2"/>
        <v>16.076225</v>
      </c>
      <c r="G44" s="806">
        <f t="shared" si="3"/>
        <v>10</v>
      </c>
      <c r="H44" s="807">
        <v>10</v>
      </c>
      <c r="I44" s="808">
        <f t="shared" si="4"/>
        <v>12.004999999999999</v>
      </c>
      <c r="J44" s="807">
        <v>0</v>
      </c>
      <c r="K44" s="808">
        <f t="shared" si="5"/>
        <v>0</v>
      </c>
      <c r="L44" s="811"/>
      <c r="M44" s="816">
        <v>15</v>
      </c>
      <c r="N44" s="812">
        <f t="shared" si="6"/>
        <v>4.071225</v>
      </c>
      <c r="O44" s="489" t="s">
        <v>444</v>
      </c>
    </row>
    <row r="45" spans="2:15" ht="15.75">
      <c r="B45" s="486">
        <f t="shared" si="7"/>
        <v>33</v>
      </c>
      <c r="C45" s="487" t="s">
        <v>370</v>
      </c>
      <c r="D45" s="809">
        <f t="shared" si="0"/>
        <v>457.01879999999994</v>
      </c>
      <c r="E45" s="805">
        <f aca="true" t="shared" si="9" ref="E45:E75">G45+M45</f>
        <v>24</v>
      </c>
      <c r="F45" s="808">
        <f t="shared" si="2"/>
        <v>457.01879999999994</v>
      </c>
      <c r="G45" s="806">
        <f aca="true" t="shared" si="10" ref="G45:G75">H45+J45</f>
        <v>24</v>
      </c>
      <c r="H45" s="807"/>
      <c r="I45" s="808">
        <f aca="true" t="shared" si="11" ref="I45:I75">1.2005*H45</f>
        <v>0</v>
      </c>
      <c r="J45" s="807">
        <v>24</v>
      </c>
      <c r="K45" s="808">
        <f>J45*19.04245</f>
        <v>457.01879999999994</v>
      </c>
      <c r="L45" s="810" t="s">
        <v>677</v>
      </c>
      <c r="M45" s="816">
        <v>0</v>
      </c>
      <c r="N45" s="812">
        <f aca="true" t="shared" si="12" ref="N45:N75">0.271415*M45</f>
        <v>0</v>
      </c>
      <c r="O45" s="489"/>
    </row>
    <row r="46" spans="2:15" ht="15.75">
      <c r="B46" s="486">
        <f t="shared" si="7"/>
        <v>34</v>
      </c>
      <c r="C46" s="491" t="s">
        <v>165</v>
      </c>
      <c r="D46" s="809">
        <f t="shared" si="0"/>
        <v>7.63099</v>
      </c>
      <c r="E46" s="805">
        <f t="shared" si="9"/>
        <v>11</v>
      </c>
      <c r="F46" s="808">
        <f t="shared" si="2"/>
        <v>7.63099</v>
      </c>
      <c r="G46" s="806">
        <f t="shared" si="10"/>
        <v>5</v>
      </c>
      <c r="H46" s="807">
        <v>5</v>
      </c>
      <c r="I46" s="808">
        <f t="shared" si="11"/>
        <v>6.0024999999999995</v>
      </c>
      <c r="J46" s="807">
        <v>0</v>
      </c>
      <c r="K46" s="808">
        <f aca="true" t="shared" si="13" ref="K46:K75">1.250312*J46</f>
        <v>0</v>
      </c>
      <c r="L46" s="811"/>
      <c r="M46" s="816">
        <v>6</v>
      </c>
      <c r="N46" s="812">
        <f t="shared" si="12"/>
        <v>1.6284900000000002</v>
      </c>
      <c r="O46" s="489"/>
    </row>
    <row r="47" spans="2:15" ht="15.75">
      <c r="B47" s="486">
        <f t="shared" si="7"/>
        <v>35</v>
      </c>
      <c r="C47" s="487" t="s">
        <v>107</v>
      </c>
      <c r="D47" s="809">
        <f t="shared" si="0"/>
        <v>18.0075</v>
      </c>
      <c r="E47" s="805">
        <f t="shared" si="9"/>
        <v>15</v>
      </c>
      <c r="F47" s="808">
        <f t="shared" si="2"/>
        <v>18.0075</v>
      </c>
      <c r="G47" s="806">
        <f t="shared" si="10"/>
        <v>15</v>
      </c>
      <c r="H47" s="807">
        <v>15</v>
      </c>
      <c r="I47" s="808">
        <f t="shared" si="11"/>
        <v>18.0075</v>
      </c>
      <c r="J47" s="807">
        <v>0</v>
      </c>
      <c r="K47" s="808">
        <f t="shared" si="13"/>
        <v>0</v>
      </c>
      <c r="L47" s="811"/>
      <c r="M47" s="816">
        <v>0</v>
      </c>
      <c r="N47" s="812">
        <f t="shared" si="12"/>
        <v>0</v>
      </c>
      <c r="O47" s="489"/>
    </row>
    <row r="48" spans="2:15" ht="15.75">
      <c r="B48" s="486">
        <f t="shared" si="7"/>
        <v>36</v>
      </c>
      <c r="C48" s="491" t="s">
        <v>268</v>
      </c>
      <c r="D48" s="809">
        <f t="shared" si="0"/>
        <v>5.34483</v>
      </c>
      <c r="E48" s="805">
        <f t="shared" si="9"/>
        <v>6</v>
      </c>
      <c r="F48" s="808">
        <f t="shared" si="2"/>
        <v>5.34483</v>
      </c>
      <c r="G48" s="806">
        <f t="shared" si="10"/>
        <v>4</v>
      </c>
      <c r="H48" s="807">
        <v>4</v>
      </c>
      <c r="I48" s="808">
        <f t="shared" si="11"/>
        <v>4.802</v>
      </c>
      <c r="J48" s="807">
        <v>0</v>
      </c>
      <c r="K48" s="808">
        <f t="shared" si="13"/>
        <v>0</v>
      </c>
      <c r="L48" s="811"/>
      <c r="M48" s="816">
        <v>2</v>
      </c>
      <c r="N48" s="812">
        <f t="shared" si="12"/>
        <v>0.54283</v>
      </c>
      <c r="O48" s="489"/>
    </row>
    <row r="49" spans="2:15" ht="15.75">
      <c r="B49" s="486">
        <f t="shared" si="7"/>
        <v>37</v>
      </c>
      <c r="C49" s="492" t="s">
        <v>108</v>
      </c>
      <c r="D49" s="809">
        <f t="shared" si="0"/>
        <v>9.604</v>
      </c>
      <c r="E49" s="805">
        <f t="shared" si="9"/>
        <v>8</v>
      </c>
      <c r="F49" s="808">
        <f t="shared" si="2"/>
        <v>9.604</v>
      </c>
      <c r="G49" s="806">
        <f t="shared" si="10"/>
        <v>8</v>
      </c>
      <c r="H49" s="807">
        <v>8</v>
      </c>
      <c r="I49" s="808">
        <f t="shared" si="11"/>
        <v>9.604</v>
      </c>
      <c r="J49" s="807">
        <v>0</v>
      </c>
      <c r="K49" s="808">
        <f t="shared" si="13"/>
        <v>0</v>
      </c>
      <c r="L49" s="811"/>
      <c r="M49" s="816">
        <v>0</v>
      </c>
      <c r="N49" s="812">
        <f t="shared" si="12"/>
        <v>0</v>
      </c>
      <c r="O49" s="489"/>
    </row>
    <row r="50" spans="2:15" ht="15.75">
      <c r="B50" s="486">
        <f t="shared" si="7"/>
        <v>38</v>
      </c>
      <c r="C50" s="492" t="s">
        <v>32</v>
      </c>
      <c r="D50" s="809">
        <f t="shared" si="0"/>
        <v>2.71415</v>
      </c>
      <c r="E50" s="805">
        <f t="shared" si="9"/>
        <v>10</v>
      </c>
      <c r="F50" s="808">
        <f t="shared" si="2"/>
        <v>2.71415</v>
      </c>
      <c r="G50" s="806">
        <f t="shared" si="10"/>
        <v>0</v>
      </c>
      <c r="H50" s="807"/>
      <c r="I50" s="808">
        <f t="shared" si="11"/>
        <v>0</v>
      </c>
      <c r="J50" s="807">
        <v>0</v>
      </c>
      <c r="K50" s="808">
        <f t="shared" si="13"/>
        <v>0</v>
      </c>
      <c r="L50" s="811"/>
      <c r="M50" s="816">
        <v>10</v>
      </c>
      <c r="N50" s="812">
        <f t="shared" si="12"/>
        <v>2.71415</v>
      </c>
      <c r="O50" s="489"/>
    </row>
    <row r="51" spans="2:15" ht="15.75">
      <c r="B51" s="486">
        <f t="shared" si="7"/>
        <v>39</v>
      </c>
      <c r="C51" s="487" t="s">
        <v>561</v>
      </c>
      <c r="D51" s="809">
        <f t="shared" si="0"/>
        <v>171.38205</v>
      </c>
      <c r="E51" s="805">
        <v>6</v>
      </c>
      <c r="F51" s="808">
        <f t="shared" si="2"/>
        <v>171.38205</v>
      </c>
      <c r="G51" s="806">
        <f t="shared" si="10"/>
        <v>6</v>
      </c>
      <c r="H51" s="807"/>
      <c r="I51" s="808"/>
      <c r="J51" s="807">
        <v>6</v>
      </c>
      <c r="K51" s="808">
        <f>J51*(19.04245*1.5)</f>
        <v>171.38205</v>
      </c>
      <c r="L51" s="811" t="s">
        <v>677</v>
      </c>
      <c r="M51" s="816"/>
      <c r="N51" s="812"/>
      <c r="O51" s="489"/>
    </row>
    <row r="52" spans="2:15" ht="15.75">
      <c r="B52" s="486">
        <f t="shared" si="7"/>
        <v>40</v>
      </c>
      <c r="C52" s="487" t="s">
        <v>290</v>
      </c>
      <c r="D52" s="809">
        <f t="shared" si="0"/>
        <v>3.215245</v>
      </c>
      <c r="E52" s="805">
        <f t="shared" si="9"/>
        <v>5</v>
      </c>
      <c r="F52" s="808">
        <f t="shared" si="2"/>
        <v>3.215245</v>
      </c>
      <c r="G52" s="806">
        <f t="shared" si="10"/>
        <v>2</v>
      </c>
      <c r="H52" s="807">
        <v>2</v>
      </c>
      <c r="I52" s="808">
        <f t="shared" si="11"/>
        <v>2.401</v>
      </c>
      <c r="J52" s="807">
        <v>0</v>
      </c>
      <c r="K52" s="808">
        <f t="shared" si="13"/>
        <v>0</v>
      </c>
      <c r="L52" s="811"/>
      <c r="M52" s="816">
        <v>3</v>
      </c>
      <c r="N52" s="812">
        <f t="shared" si="12"/>
        <v>0.8142450000000001</v>
      </c>
      <c r="O52" s="488"/>
    </row>
    <row r="53" spans="2:15" ht="15.75">
      <c r="B53" s="486">
        <f t="shared" si="7"/>
        <v>41</v>
      </c>
      <c r="C53" s="487" t="s">
        <v>269</v>
      </c>
      <c r="D53" s="809">
        <f t="shared" si="0"/>
        <v>12.004999999999999</v>
      </c>
      <c r="E53" s="805">
        <f t="shared" si="9"/>
        <v>10</v>
      </c>
      <c r="F53" s="808">
        <f t="shared" si="2"/>
        <v>12.004999999999999</v>
      </c>
      <c r="G53" s="806">
        <f t="shared" si="10"/>
        <v>10</v>
      </c>
      <c r="H53" s="807">
        <v>10</v>
      </c>
      <c r="I53" s="808">
        <f t="shared" si="11"/>
        <v>12.004999999999999</v>
      </c>
      <c r="J53" s="807">
        <v>0</v>
      </c>
      <c r="K53" s="808">
        <f t="shared" si="13"/>
        <v>0</v>
      </c>
      <c r="L53" s="811"/>
      <c r="M53" s="816">
        <v>0</v>
      </c>
      <c r="N53" s="812">
        <f t="shared" si="12"/>
        <v>0</v>
      </c>
      <c r="O53" s="489"/>
    </row>
    <row r="54" spans="2:15" ht="15.75">
      <c r="B54" s="486">
        <f t="shared" si="7"/>
        <v>42</v>
      </c>
      <c r="C54" s="487" t="s">
        <v>285</v>
      </c>
      <c r="D54" s="809">
        <f t="shared" si="0"/>
        <v>12.004999999999999</v>
      </c>
      <c r="E54" s="805">
        <f t="shared" si="9"/>
        <v>10</v>
      </c>
      <c r="F54" s="808">
        <f t="shared" si="2"/>
        <v>12.004999999999999</v>
      </c>
      <c r="G54" s="806">
        <f t="shared" si="10"/>
        <v>10</v>
      </c>
      <c r="H54" s="807">
        <v>10</v>
      </c>
      <c r="I54" s="808">
        <f t="shared" si="11"/>
        <v>12.004999999999999</v>
      </c>
      <c r="J54" s="807">
        <v>0</v>
      </c>
      <c r="K54" s="808">
        <f t="shared" si="13"/>
        <v>0</v>
      </c>
      <c r="L54" s="811"/>
      <c r="M54" s="816">
        <v>0</v>
      </c>
      <c r="N54" s="812">
        <f t="shared" si="12"/>
        <v>0</v>
      </c>
      <c r="O54" s="489"/>
    </row>
    <row r="55" spans="2:15" ht="15.75">
      <c r="B55" s="486">
        <f t="shared" si="7"/>
        <v>43</v>
      </c>
      <c r="C55" s="487" t="s">
        <v>167</v>
      </c>
      <c r="D55" s="809">
        <f t="shared" si="0"/>
        <v>0.8142450000000001</v>
      </c>
      <c r="E55" s="805">
        <f t="shared" si="9"/>
        <v>3</v>
      </c>
      <c r="F55" s="808">
        <f t="shared" si="2"/>
        <v>0.8142450000000001</v>
      </c>
      <c r="G55" s="806">
        <f t="shared" si="10"/>
        <v>0</v>
      </c>
      <c r="H55" s="807">
        <v>0</v>
      </c>
      <c r="I55" s="808">
        <f t="shared" si="11"/>
        <v>0</v>
      </c>
      <c r="J55" s="807">
        <v>0</v>
      </c>
      <c r="K55" s="808">
        <f t="shared" si="13"/>
        <v>0</v>
      </c>
      <c r="L55" s="811"/>
      <c r="M55" s="816">
        <v>3</v>
      </c>
      <c r="N55" s="812">
        <f t="shared" si="12"/>
        <v>0.8142450000000001</v>
      </c>
      <c r="O55" s="489"/>
    </row>
    <row r="56" spans="2:15" ht="15.75">
      <c r="B56" s="486">
        <f t="shared" si="7"/>
        <v>44</v>
      </c>
      <c r="C56" s="487" t="s">
        <v>140</v>
      </c>
      <c r="D56" s="809">
        <f t="shared" si="0"/>
        <v>3.6014999999999997</v>
      </c>
      <c r="E56" s="805">
        <f t="shared" si="9"/>
        <v>3</v>
      </c>
      <c r="F56" s="808">
        <f t="shared" si="2"/>
        <v>3.6014999999999997</v>
      </c>
      <c r="G56" s="806">
        <f t="shared" si="10"/>
        <v>3</v>
      </c>
      <c r="H56" s="807">
        <v>3</v>
      </c>
      <c r="I56" s="808">
        <f t="shared" si="11"/>
        <v>3.6014999999999997</v>
      </c>
      <c r="J56" s="807">
        <v>0</v>
      </c>
      <c r="K56" s="808">
        <f t="shared" si="13"/>
        <v>0</v>
      </c>
      <c r="L56" s="811"/>
      <c r="M56" s="816">
        <v>0</v>
      </c>
      <c r="N56" s="812">
        <f t="shared" si="12"/>
        <v>0</v>
      </c>
      <c r="O56" s="489"/>
    </row>
    <row r="57" spans="2:15" ht="15.75">
      <c r="B57" s="486">
        <f t="shared" si="7"/>
        <v>45</v>
      </c>
      <c r="C57" s="487" t="s">
        <v>67</v>
      </c>
      <c r="D57" s="809">
        <f t="shared" si="0"/>
        <v>2.014745</v>
      </c>
      <c r="E57" s="805">
        <f t="shared" si="9"/>
        <v>4</v>
      </c>
      <c r="F57" s="808">
        <f t="shared" si="2"/>
        <v>2.014745</v>
      </c>
      <c r="G57" s="806">
        <f t="shared" si="10"/>
        <v>1</v>
      </c>
      <c r="H57" s="807">
        <v>1</v>
      </c>
      <c r="I57" s="808">
        <f t="shared" si="11"/>
        <v>1.2005</v>
      </c>
      <c r="J57" s="807">
        <v>0</v>
      </c>
      <c r="K57" s="808">
        <f t="shared" si="13"/>
        <v>0</v>
      </c>
      <c r="L57" s="811"/>
      <c r="M57" s="816">
        <v>3</v>
      </c>
      <c r="N57" s="812">
        <f t="shared" si="12"/>
        <v>0.8142450000000001</v>
      </c>
      <c r="O57" s="489"/>
    </row>
    <row r="58" spans="2:15" ht="15.75">
      <c r="B58" s="486">
        <f t="shared" si="7"/>
        <v>46</v>
      </c>
      <c r="C58" s="487" t="s">
        <v>328</v>
      </c>
      <c r="D58" s="809">
        <f t="shared" si="0"/>
        <v>2.9438299999999997</v>
      </c>
      <c r="E58" s="805">
        <f t="shared" si="9"/>
        <v>4</v>
      </c>
      <c r="F58" s="808">
        <f t="shared" si="2"/>
        <v>2.9438299999999997</v>
      </c>
      <c r="G58" s="806">
        <f t="shared" si="10"/>
        <v>2</v>
      </c>
      <c r="H58" s="807">
        <v>2</v>
      </c>
      <c r="I58" s="808">
        <f t="shared" si="11"/>
        <v>2.401</v>
      </c>
      <c r="J58" s="807">
        <v>0</v>
      </c>
      <c r="K58" s="808">
        <f t="shared" si="13"/>
        <v>0</v>
      </c>
      <c r="L58" s="811"/>
      <c r="M58" s="816">
        <v>2</v>
      </c>
      <c r="N58" s="812">
        <f t="shared" si="12"/>
        <v>0.54283</v>
      </c>
      <c r="O58" s="489"/>
    </row>
    <row r="59" spans="2:15" ht="15.75">
      <c r="B59" s="486">
        <f t="shared" si="7"/>
        <v>47</v>
      </c>
      <c r="C59" s="487" t="s">
        <v>393</v>
      </c>
      <c r="D59" s="809">
        <f t="shared" si="0"/>
        <v>2.2861599999999997</v>
      </c>
      <c r="E59" s="805">
        <f t="shared" si="9"/>
        <v>5</v>
      </c>
      <c r="F59" s="808">
        <f t="shared" si="2"/>
        <v>2.2861599999999997</v>
      </c>
      <c r="G59" s="806">
        <f t="shared" si="10"/>
        <v>1</v>
      </c>
      <c r="H59" s="807">
        <v>1</v>
      </c>
      <c r="I59" s="808">
        <f t="shared" si="11"/>
        <v>1.2005</v>
      </c>
      <c r="J59" s="807">
        <v>0</v>
      </c>
      <c r="K59" s="808">
        <f t="shared" si="13"/>
        <v>0</v>
      </c>
      <c r="L59" s="811" t="s">
        <v>424</v>
      </c>
      <c r="M59" s="816">
        <v>4</v>
      </c>
      <c r="N59" s="812">
        <f t="shared" si="12"/>
        <v>1.08566</v>
      </c>
      <c r="O59" s="489"/>
    </row>
    <row r="60" spans="2:15" ht="15.75">
      <c r="B60" s="486">
        <f t="shared" si="7"/>
        <v>48</v>
      </c>
      <c r="C60" s="487" t="s">
        <v>68</v>
      </c>
      <c r="D60" s="809">
        <f t="shared" si="0"/>
        <v>1.2005</v>
      </c>
      <c r="E60" s="805">
        <f t="shared" si="9"/>
        <v>1</v>
      </c>
      <c r="F60" s="808">
        <f t="shared" si="2"/>
        <v>1.2005</v>
      </c>
      <c r="G60" s="806">
        <f t="shared" si="10"/>
        <v>1</v>
      </c>
      <c r="H60" s="807">
        <v>1</v>
      </c>
      <c r="I60" s="808">
        <f t="shared" si="11"/>
        <v>1.2005</v>
      </c>
      <c r="J60" s="807">
        <v>0</v>
      </c>
      <c r="K60" s="808">
        <f t="shared" si="13"/>
        <v>0</v>
      </c>
      <c r="L60" s="811" t="s">
        <v>404</v>
      </c>
      <c r="M60" s="816">
        <v>0</v>
      </c>
      <c r="N60" s="812">
        <f t="shared" si="12"/>
        <v>0</v>
      </c>
      <c r="O60" s="489"/>
    </row>
    <row r="61" spans="2:15" ht="15.75">
      <c r="B61" s="486">
        <f t="shared" si="7"/>
        <v>49</v>
      </c>
      <c r="C61" s="487" t="s">
        <v>392</v>
      </c>
      <c r="D61" s="809">
        <f t="shared" si="0"/>
        <v>2.401</v>
      </c>
      <c r="E61" s="805">
        <f t="shared" si="9"/>
        <v>2</v>
      </c>
      <c r="F61" s="808">
        <f t="shared" si="2"/>
        <v>2.401</v>
      </c>
      <c r="G61" s="806">
        <f t="shared" si="10"/>
        <v>2</v>
      </c>
      <c r="H61" s="807">
        <v>2</v>
      </c>
      <c r="I61" s="808">
        <f t="shared" si="11"/>
        <v>2.401</v>
      </c>
      <c r="J61" s="807">
        <v>0</v>
      </c>
      <c r="K61" s="808">
        <f t="shared" si="13"/>
        <v>0</v>
      </c>
      <c r="L61" s="811"/>
      <c r="M61" s="816">
        <v>0</v>
      </c>
      <c r="N61" s="812">
        <f t="shared" si="12"/>
        <v>0</v>
      </c>
      <c r="O61" s="489"/>
    </row>
    <row r="62" spans="2:15" ht="15.75">
      <c r="B62" s="486">
        <f t="shared" si="7"/>
        <v>50</v>
      </c>
      <c r="C62" s="487" t="s">
        <v>109</v>
      </c>
      <c r="D62" s="809">
        <f t="shared" si="0"/>
        <v>16.859099999999998</v>
      </c>
      <c r="E62" s="805">
        <f t="shared" si="9"/>
        <v>45</v>
      </c>
      <c r="F62" s="808">
        <f t="shared" si="2"/>
        <v>16.859099999999998</v>
      </c>
      <c r="G62" s="806">
        <f t="shared" si="10"/>
        <v>5</v>
      </c>
      <c r="H62" s="807">
        <v>5</v>
      </c>
      <c r="I62" s="808">
        <f t="shared" si="11"/>
        <v>6.0024999999999995</v>
      </c>
      <c r="J62" s="807">
        <v>0</v>
      </c>
      <c r="K62" s="808">
        <f t="shared" si="13"/>
        <v>0</v>
      </c>
      <c r="L62" s="811"/>
      <c r="M62" s="816">
        <v>40</v>
      </c>
      <c r="N62" s="812">
        <f t="shared" si="12"/>
        <v>10.8566</v>
      </c>
      <c r="O62" s="489" t="s">
        <v>548</v>
      </c>
    </row>
    <row r="63" spans="2:15" ht="15.75">
      <c r="B63" s="486">
        <f t="shared" si="7"/>
        <v>51</v>
      </c>
      <c r="C63" s="487" t="s">
        <v>169</v>
      </c>
      <c r="D63" s="809">
        <f t="shared" si="0"/>
        <v>9.604</v>
      </c>
      <c r="E63" s="805">
        <f t="shared" si="9"/>
        <v>8</v>
      </c>
      <c r="F63" s="808">
        <f t="shared" si="2"/>
        <v>9.604</v>
      </c>
      <c r="G63" s="806">
        <f t="shared" si="10"/>
        <v>8</v>
      </c>
      <c r="H63" s="807">
        <v>8</v>
      </c>
      <c r="I63" s="808">
        <f t="shared" si="11"/>
        <v>9.604</v>
      </c>
      <c r="J63" s="807">
        <v>0</v>
      </c>
      <c r="K63" s="808">
        <f t="shared" si="13"/>
        <v>0</v>
      </c>
      <c r="L63" s="811"/>
      <c r="M63" s="816">
        <v>0</v>
      </c>
      <c r="N63" s="812">
        <f t="shared" si="12"/>
        <v>0</v>
      </c>
      <c r="O63" s="489"/>
    </row>
    <row r="64" spans="2:15" ht="15.75">
      <c r="B64" s="486">
        <f t="shared" si="7"/>
        <v>52</v>
      </c>
      <c r="C64" s="487" t="s">
        <v>170</v>
      </c>
      <c r="D64" s="809">
        <f t="shared" si="0"/>
        <v>9.25948</v>
      </c>
      <c r="E64" s="805">
        <f t="shared" si="9"/>
        <v>17</v>
      </c>
      <c r="F64" s="808">
        <f t="shared" si="2"/>
        <v>9.25948</v>
      </c>
      <c r="G64" s="806">
        <f t="shared" si="10"/>
        <v>5</v>
      </c>
      <c r="H64" s="807">
        <v>5</v>
      </c>
      <c r="I64" s="808">
        <f t="shared" si="11"/>
        <v>6.0024999999999995</v>
      </c>
      <c r="J64" s="807">
        <v>0</v>
      </c>
      <c r="K64" s="808">
        <f t="shared" si="13"/>
        <v>0</v>
      </c>
      <c r="L64" s="811"/>
      <c r="M64" s="816">
        <v>12</v>
      </c>
      <c r="N64" s="812">
        <f t="shared" si="12"/>
        <v>3.2569800000000004</v>
      </c>
      <c r="O64" s="488" t="s">
        <v>548</v>
      </c>
    </row>
    <row r="65" spans="2:15" ht="15.75">
      <c r="B65" s="486">
        <f t="shared" si="7"/>
        <v>53</v>
      </c>
      <c r="C65" s="487" t="s">
        <v>33</v>
      </c>
      <c r="D65" s="809">
        <f t="shared" si="0"/>
        <v>8.4035</v>
      </c>
      <c r="E65" s="805">
        <f t="shared" si="9"/>
        <v>7</v>
      </c>
      <c r="F65" s="808">
        <f t="shared" si="2"/>
        <v>8.4035</v>
      </c>
      <c r="G65" s="806">
        <f t="shared" si="10"/>
        <v>7</v>
      </c>
      <c r="H65" s="807">
        <v>7</v>
      </c>
      <c r="I65" s="808">
        <f t="shared" si="11"/>
        <v>8.4035</v>
      </c>
      <c r="J65" s="807">
        <v>0</v>
      </c>
      <c r="K65" s="808">
        <f t="shared" si="13"/>
        <v>0</v>
      </c>
      <c r="L65" s="810" t="s">
        <v>677</v>
      </c>
      <c r="M65" s="816">
        <v>0</v>
      </c>
      <c r="N65" s="812">
        <f t="shared" si="12"/>
        <v>0</v>
      </c>
      <c r="O65" s="489"/>
    </row>
    <row r="66" spans="2:15" ht="15.75">
      <c r="B66" s="486">
        <f t="shared" si="7"/>
        <v>54</v>
      </c>
      <c r="C66" s="487" t="s">
        <v>34</v>
      </c>
      <c r="D66" s="809">
        <f t="shared" si="0"/>
        <v>5.4283</v>
      </c>
      <c r="E66" s="805">
        <f t="shared" si="9"/>
        <v>20</v>
      </c>
      <c r="F66" s="808">
        <f t="shared" si="2"/>
        <v>5.4283</v>
      </c>
      <c r="G66" s="806">
        <f t="shared" si="10"/>
        <v>0</v>
      </c>
      <c r="H66" s="807"/>
      <c r="I66" s="808">
        <f t="shared" si="11"/>
        <v>0</v>
      </c>
      <c r="J66" s="807">
        <v>0</v>
      </c>
      <c r="K66" s="808">
        <f t="shared" si="13"/>
        <v>0</v>
      </c>
      <c r="L66" s="811"/>
      <c r="M66" s="816">
        <v>20</v>
      </c>
      <c r="N66" s="812">
        <f t="shared" si="12"/>
        <v>5.4283</v>
      </c>
      <c r="O66" s="489" t="s">
        <v>548</v>
      </c>
    </row>
    <row r="67" spans="2:15" ht="15.75">
      <c r="B67" s="486">
        <f t="shared" si="7"/>
        <v>55</v>
      </c>
      <c r="C67" s="487" t="s">
        <v>270</v>
      </c>
      <c r="D67" s="809">
        <f t="shared" si="0"/>
        <v>12.004999999999999</v>
      </c>
      <c r="E67" s="805">
        <f t="shared" si="9"/>
        <v>10</v>
      </c>
      <c r="F67" s="808">
        <f t="shared" si="2"/>
        <v>12.004999999999999</v>
      </c>
      <c r="G67" s="806">
        <f t="shared" si="10"/>
        <v>10</v>
      </c>
      <c r="H67" s="807">
        <v>10</v>
      </c>
      <c r="I67" s="808">
        <f t="shared" si="11"/>
        <v>12.004999999999999</v>
      </c>
      <c r="J67" s="807">
        <v>0</v>
      </c>
      <c r="K67" s="808">
        <f t="shared" si="13"/>
        <v>0</v>
      </c>
      <c r="L67" s="811"/>
      <c r="M67" s="816">
        <v>0</v>
      </c>
      <c r="N67" s="812">
        <f t="shared" si="12"/>
        <v>0</v>
      </c>
      <c r="O67" s="488"/>
    </row>
    <row r="68" spans="2:15" ht="15.75">
      <c r="B68" s="486">
        <f t="shared" si="7"/>
        <v>56</v>
      </c>
      <c r="C68" s="487" t="s">
        <v>247</v>
      </c>
      <c r="D68" s="809">
        <f t="shared" si="0"/>
        <v>15.763074999999999</v>
      </c>
      <c r="E68" s="805">
        <f t="shared" si="9"/>
        <v>17</v>
      </c>
      <c r="F68" s="808">
        <f t="shared" si="2"/>
        <v>15.763074999999999</v>
      </c>
      <c r="G68" s="806">
        <f t="shared" si="10"/>
        <v>12</v>
      </c>
      <c r="H68" s="807">
        <v>12</v>
      </c>
      <c r="I68" s="808">
        <f t="shared" si="11"/>
        <v>14.405999999999999</v>
      </c>
      <c r="J68" s="807">
        <v>0</v>
      </c>
      <c r="K68" s="808">
        <f t="shared" si="13"/>
        <v>0</v>
      </c>
      <c r="L68" s="811"/>
      <c r="M68" s="816">
        <v>5</v>
      </c>
      <c r="N68" s="812">
        <f t="shared" si="12"/>
        <v>1.357075</v>
      </c>
      <c r="O68" s="372" t="s">
        <v>444</v>
      </c>
    </row>
    <row r="69" spans="2:15" ht="15.75">
      <c r="B69" s="486">
        <f t="shared" si="7"/>
        <v>57</v>
      </c>
      <c r="C69" s="491" t="s">
        <v>171</v>
      </c>
      <c r="D69" s="809">
        <f t="shared" si="0"/>
        <v>3.6014999999999997</v>
      </c>
      <c r="E69" s="805">
        <f t="shared" si="9"/>
        <v>3</v>
      </c>
      <c r="F69" s="808">
        <f t="shared" si="2"/>
        <v>3.6014999999999997</v>
      </c>
      <c r="G69" s="806">
        <f t="shared" si="10"/>
        <v>3</v>
      </c>
      <c r="H69" s="807">
        <v>3</v>
      </c>
      <c r="I69" s="808">
        <f t="shared" si="11"/>
        <v>3.6014999999999997</v>
      </c>
      <c r="J69" s="807">
        <v>0</v>
      </c>
      <c r="K69" s="808">
        <f t="shared" si="13"/>
        <v>0</v>
      </c>
      <c r="L69" s="811"/>
      <c r="M69" s="816">
        <v>0</v>
      </c>
      <c r="N69" s="812">
        <f t="shared" si="12"/>
        <v>0</v>
      </c>
      <c r="O69" s="489"/>
    </row>
    <row r="70" spans="2:15" ht="15.75">
      <c r="B70" s="486">
        <f t="shared" si="7"/>
        <v>58</v>
      </c>
      <c r="C70" s="491" t="s">
        <v>172</v>
      </c>
      <c r="D70" s="809">
        <f t="shared" si="0"/>
        <v>4.415744999999999</v>
      </c>
      <c r="E70" s="805">
        <f t="shared" si="9"/>
        <v>6</v>
      </c>
      <c r="F70" s="808">
        <f t="shared" si="2"/>
        <v>4.415744999999999</v>
      </c>
      <c r="G70" s="806">
        <f t="shared" si="10"/>
        <v>3</v>
      </c>
      <c r="H70" s="807">
        <v>3</v>
      </c>
      <c r="I70" s="808">
        <f t="shared" si="11"/>
        <v>3.6014999999999997</v>
      </c>
      <c r="J70" s="807">
        <v>0</v>
      </c>
      <c r="K70" s="808">
        <f t="shared" si="13"/>
        <v>0</v>
      </c>
      <c r="L70" s="811"/>
      <c r="M70" s="816">
        <v>3</v>
      </c>
      <c r="N70" s="812">
        <f t="shared" si="12"/>
        <v>0.8142450000000001</v>
      </c>
      <c r="O70" s="372" t="s">
        <v>444</v>
      </c>
    </row>
    <row r="71" spans="2:15" ht="15.75">
      <c r="B71" s="486">
        <f t="shared" si="7"/>
        <v>59</v>
      </c>
      <c r="C71" s="487" t="s">
        <v>310</v>
      </c>
      <c r="D71" s="809">
        <f t="shared" si="0"/>
        <v>13.560385</v>
      </c>
      <c r="E71" s="805">
        <f t="shared" si="9"/>
        <v>26</v>
      </c>
      <c r="F71" s="808">
        <f t="shared" si="2"/>
        <v>13.560385</v>
      </c>
      <c r="G71" s="806">
        <f t="shared" si="10"/>
        <v>7</v>
      </c>
      <c r="H71" s="807">
        <v>7</v>
      </c>
      <c r="I71" s="808">
        <f t="shared" si="11"/>
        <v>8.4035</v>
      </c>
      <c r="J71" s="807">
        <v>0</v>
      </c>
      <c r="K71" s="808">
        <f t="shared" si="13"/>
        <v>0</v>
      </c>
      <c r="L71" s="811"/>
      <c r="M71" s="816">
        <v>19</v>
      </c>
      <c r="N71" s="812">
        <f t="shared" si="12"/>
        <v>5.156885</v>
      </c>
      <c r="O71" s="489" t="s">
        <v>400</v>
      </c>
    </row>
    <row r="72" spans="2:15" ht="15.75">
      <c r="B72" s="486">
        <f t="shared" si="7"/>
        <v>60</v>
      </c>
      <c r="C72" s="487" t="s">
        <v>173</v>
      </c>
      <c r="D72" s="809">
        <f t="shared" si="0"/>
        <v>5.8876599999999994</v>
      </c>
      <c r="E72" s="805">
        <f t="shared" si="9"/>
        <v>8</v>
      </c>
      <c r="F72" s="808">
        <f t="shared" si="2"/>
        <v>5.8876599999999994</v>
      </c>
      <c r="G72" s="806">
        <f t="shared" si="10"/>
        <v>4</v>
      </c>
      <c r="H72" s="807">
        <v>4</v>
      </c>
      <c r="I72" s="808">
        <f t="shared" si="11"/>
        <v>4.802</v>
      </c>
      <c r="J72" s="807">
        <v>0</v>
      </c>
      <c r="K72" s="808">
        <f t="shared" si="13"/>
        <v>0</v>
      </c>
      <c r="L72" s="811"/>
      <c r="M72" s="816">
        <v>4</v>
      </c>
      <c r="N72" s="812">
        <f t="shared" si="12"/>
        <v>1.08566</v>
      </c>
      <c r="O72" s="489"/>
    </row>
    <row r="73" spans="2:15" ht="15.75">
      <c r="B73" s="486">
        <f t="shared" si="7"/>
        <v>61</v>
      </c>
      <c r="C73" s="487" t="s">
        <v>397</v>
      </c>
      <c r="D73" s="809">
        <f t="shared" si="0"/>
        <v>11.4308</v>
      </c>
      <c r="E73" s="805">
        <f t="shared" si="9"/>
        <v>25</v>
      </c>
      <c r="F73" s="808">
        <f t="shared" si="2"/>
        <v>11.4308</v>
      </c>
      <c r="G73" s="806">
        <f t="shared" si="10"/>
        <v>5</v>
      </c>
      <c r="H73" s="807">
        <v>5</v>
      </c>
      <c r="I73" s="808">
        <f t="shared" si="11"/>
        <v>6.0024999999999995</v>
      </c>
      <c r="J73" s="807">
        <v>0</v>
      </c>
      <c r="K73" s="808">
        <f t="shared" si="13"/>
        <v>0</v>
      </c>
      <c r="L73" s="811"/>
      <c r="M73" s="816">
        <v>20</v>
      </c>
      <c r="N73" s="812">
        <f t="shared" si="12"/>
        <v>5.4283</v>
      </c>
      <c r="O73" s="489" t="s">
        <v>400</v>
      </c>
    </row>
    <row r="74" spans="2:15" ht="15.75">
      <c r="B74" s="486">
        <f t="shared" si="7"/>
        <v>62</v>
      </c>
      <c r="C74" s="487" t="s">
        <v>398</v>
      </c>
      <c r="D74" s="809">
        <f t="shared" si="0"/>
        <v>8.4035</v>
      </c>
      <c r="E74" s="805">
        <f t="shared" si="9"/>
        <v>7</v>
      </c>
      <c r="F74" s="808">
        <f t="shared" si="2"/>
        <v>8.4035</v>
      </c>
      <c r="G74" s="806">
        <f t="shared" si="10"/>
        <v>7</v>
      </c>
      <c r="H74" s="807">
        <v>7</v>
      </c>
      <c r="I74" s="808">
        <f t="shared" si="11"/>
        <v>8.4035</v>
      </c>
      <c r="J74" s="807">
        <v>0</v>
      </c>
      <c r="K74" s="808">
        <f t="shared" si="13"/>
        <v>0</v>
      </c>
      <c r="L74" s="811"/>
      <c r="M74" s="816">
        <v>0</v>
      </c>
      <c r="N74" s="812">
        <f t="shared" si="12"/>
        <v>0</v>
      </c>
      <c r="O74" s="489"/>
    </row>
    <row r="75" spans="2:15" ht="15.75">
      <c r="B75" s="486">
        <f t="shared" si="7"/>
        <v>63</v>
      </c>
      <c r="C75" s="487" t="s">
        <v>92</v>
      </c>
      <c r="D75" s="809">
        <f aca="true" t="shared" si="14" ref="D75:D81">F75</f>
        <v>11.4308</v>
      </c>
      <c r="E75" s="805">
        <f t="shared" si="9"/>
        <v>25</v>
      </c>
      <c r="F75" s="808">
        <f aca="true" t="shared" si="15" ref="F75:F81">I75+K75+N75</f>
        <v>11.4308</v>
      </c>
      <c r="G75" s="806">
        <f t="shared" si="10"/>
        <v>5</v>
      </c>
      <c r="H75" s="807">
        <v>5</v>
      </c>
      <c r="I75" s="808">
        <f t="shared" si="11"/>
        <v>6.0024999999999995</v>
      </c>
      <c r="J75" s="807">
        <v>0</v>
      </c>
      <c r="K75" s="808">
        <f t="shared" si="13"/>
        <v>0</v>
      </c>
      <c r="L75" s="811"/>
      <c r="M75" s="816">
        <v>20</v>
      </c>
      <c r="N75" s="812">
        <f t="shared" si="12"/>
        <v>5.4283</v>
      </c>
      <c r="O75" s="489" t="s">
        <v>549</v>
      </c>
    </row>
    <row r="76" spans="2:15" ht="15.75">
      <c r="B76" s="486">
        <f t="shared" si="7"/>
        <v>64</v>
      </c>
      <c r="C76" s="491" t="s">
        <v>282</v>
      </c>
      <c r="D76" s="809">
        <f t="shared" si="14"/>
        <v>5.8876599999999994</v>
      </c>
      <c r="E76" s="805">
        <f aca="true" t="shared" si="16" ref="E76:E81">G76+M76</f>
        <v>8</v>
      </c>
      <c r="F76" s="808">
        <f t="shared" si="15"/>
        <v>5.8876599999999994</v>
      </c>
      <c r="G76" s="806">
        <f aca="true" t="shared" si="17" ref="G76:G81">H76+J76</f>
        <v>4</v>
      </c>
      <c r="H76" s="807">
        <v>4</v>
      </c>
      <c r="I76" s="808">
        <f aca="true" t="shared" si="18" ref="I76:I81">1.2005*H76</f>
        <v>4.802</v>
      </c>
      <c r="J76" s="807">
        <v>0</v>
      </c>
      <c r="K76" s="808">
        <f aca="true" t="shared" si="19" ref="K76:K81">1.250312*J76</f>
        <v>0</v>
      </c>
      <c r="L76" s="811"/>
      <c r="M76" s="816">
        <v>4</v>
      </c>
      <c r="N76" s="812">
        <f aca="true" t="shared" si="20" ref="N76:N81">0.271415*M76</f>
        <v>1.08566</v>
      </c>
      <c r="O76" s="489"/>
    </row>
    <row r="77" spans="2:15" ht="15.75">
      <c r="B77" s="486">
        <f t="shared" si="7"/>
        <v>65</v>
      </c>
      <c r="C77" s="491" t="s">
        <v>283</v>
      </c>
      <c r="D77" s="809">
        <f t="shared" si="14"/>
        <v>4.802</v>
      </c>
      <c r="E77" s="805">
        <f t="shared" si="16"/>
        <v>4</v>
      </c>
      <c r="F77" s="808">
        <f t="shared" si="15"/>
        <v>4.802</v>
      </c>
      <c r="G77" s="806">
        <f t="shared" si="17"/>
        <v>4</v>
      </c>
      <c r="H77" s="807">
        <v>4</v>
      </c>
      <c r="I77" s="808">
        <f t="shared" si="18"/>
        <v>4.802</v>
      </c>
      <c r="J77" s="807">
        <v>0</v>
      </c>
      <c r="K77" s="808">
        <f t="shared" si="19"/>
        <v>0</v>
      </c>
      <c r="L77" s="811"/>
      <c r="M77" s="816">
        <v>0</v>
      </c>
      <c r="N77" s="812">
        <f t="shared" si="20"/>
        <v>0</v>
      </c>
      <c r="O77" s="489"/>
    </row>
    <row r="78" spans="2:15" ht="15.75">
      <c r="B78" s="486">
        <f t="shared" si="7"/>
        <v>66</v>
      </c>
      <c r="C78" s="491" t="s">
        <v>461</v>
      </c>
      <c r="D78" s="809">
        <f t="shared" si="14"/>
        <v>4.14433</v>
      </c>
      <c r="E78" s="805">
        <f t="shared" si="16"/>
        <v>5</v>
      </c>
      <c r="F78" s="808">
        <f t="shared" si="15"/>
        <v>4.14433</v>
      </c>
      <c r="G78" s="806">
        <f t="shared" si="17"/>
        <v>3</v>
      </c>
      <c r="H78" s="807">
        <v>3</v>
      </c>
      <c r="I78" s="808">
        <f t="shared" si="18"/>
        <v>3.6014999999999997</v>
      </c>
      <c r="J78" s="807">
        <v>0</v>
      </c>
      <c r="K78" s="808">
        <f t="shared" si="19"/>
        <v>0</v>
      </c>
      <c r="L78" s="811"/>
      <c r="M78" s="816">
        <v>2</v>
      </c>
      <c r="N78" s="812">
        <f t="shared" si="20"/>
        <v>0.54283</v>
      </c>
      <c r="O78" s="489"/>
    </row>
    <row r="79" spans="2:15" ht="15.75">
      <c r="B79" s="486">
        <f t="shared" si="7"/>
        <v>67</v>
      </c>
      <c r="C79" s="487" t="s">
        <v>175</v>
      </c>
      <c r="D79" s="809">
        <f t="shared" si="14"/>
        <v>3.6014999999999997</v>
      </c>
      <c r="E79" s="805">
        <f t="shared" si="16"/>
        <v>3</v>
      </c>
      <c r="F79" s="808">
        <f t="shared" si="15"/>
        <v>3.6014999999999997</v>
      </c>
      <c r="G79" s="806">
        <f t="shared" si="17"/>
        <v>3</v>
      </c>
      <c r="H79" s="807">
        <v>3</v>
      </c>
      <c r="I79" s="808">
        <f t="shared" si="18"/>
        <v>3.6014999999999997</v>
      </c>
      <c r="J79" s="807">
        <v>0</v>
      </c>
      <c r="K79" s="808">
        <f t="shared" si="19"/>
        <v>0</v>
      </c>
      <c r="L79" s="811"/>
      <c r="M79" s="816">
        <v>0</v>
      </c>
      <c r="N79" s="812">
        <f t="shared" si="20"/>
        <v>0</v>
      </c>
      <c r="O79" s="489"/>
    </row>
    <row r="80" spans="2:15" ht="15.75">
      <c r="B80" s="486">
        <f t="shared" si="7"/>
        <v>68</v>
      </c>
      <c r="C80" s="487" t="s">
        <v>473</v>
      </c>
      <c r="D80" s="809">
        <f t="shared" si="14"/>
        <v>8.4035</v>
      </c>
      <c r="E80" s="805">
        <f t="shared" si="16"/>
        <v>7</v>
      </c>
      <c r="F80" s="808">
        <f t="shared" si="15"/>
        <v>8.4035</v>
      </c>
      <c r="G80" s="806">
        <f t="shared" si="17"/>
        <v>7</v>
      </c>
      <c r="H80" s="807">
        <v>7</v>
      </c>
      <c r="I80" s="808">
        <f t="shared" si="18"/>
        <v>8.4035</v>
      </c>
      <c r="J80" s="807">
        <v>0</v>
      </c>
      <c r="K80" s="808">
        <f t="shared" si="19"/>
        <v>0</v>
      </c>
      <c r="L80" s="811"/>
      <c r="M80" s="816">
        <v>0</v>
      </c>
      <c r="N80" s="812">
        <f t="shared" si="20"/>
        <v>0</v>
      </c>
      <c r="O80" s="489"/>
    </row>
    <row r="81" spans="2:15" ht="16.5" thickBot="1">
      <c r="B81" s="486">
        <f t="shared" si="7"/>
        <v>69</v>
      </c>
      <c r="C81" s="487" t="s">
        <v>436</v>
      </c>
      <c r="D81" s="809">
        <f t="shared" si="14"/>
        <v>10.8566</v>
      </c>
      <c r="E81" s="805">
        <f t="shared" si="16"/>
        <v>40</v>
      </c>
      <c r="F81" s="808">
        <f t="shared" si="15"/>
        <v>10.8566</v>
      </c>
      <c r="G81" s="806">
        <f t="shared" si="17"/>
        <v>0</v>
      </c>
      <c r="H81" s="807"/>
      <c r="I81" s="808">
        <f t="shared" si="18"/>
        <v>0</v>
      </c>
      <c r="J81" s="807">
        <v>0</v>
      </c>
      <c r="K81" s="808">
        <f t="shared" si="19"/>
        <v>0</v>
      </c>
      <c r="L81" s="811"/>
      <c r="M81" s="816">
        <v>40</v>
      </c>
      <c r="N81" s="812">
        <f t="shared" si="20"/>
        <v>10.8566</v>
      </c>
      <c r="O81" s="489" t="s">
        <v>549</v>
      </c>
    </row>
    <row r="82" spans="2:15" ht="24" customHeight="1" thickBot="1">
      <c r="B82" s="493"/>
      <c r="C82" s="507" t="s">
        <v>203</v>
      </c>
      <c r="D82" s="508">
        <f>SUM(D13:D81)</f>
        <v>1417.0706820000003</v>
      </c>
      <c r="E82" s="635">
        <f>SUM(E13:E81)</f>
        <v>679</v>
      </c>
      <c r="F82" s="509">
        <f>SUM(F12:F81)</f>
        <v>1417.0706820000003</v>
      </c>
      <c r="G82" s="634">
        <f aca="true" t="shared" si="21" ref="G82:M82">SUM(G13:G81)</f>
        <v>303</v>
      </c>
      <c r="H82" s="634">
        <f t="shared" si="21"/>
        <v>212</v>
      </c>
      <c r="I82" s="509">
        <f t="shared" si="21"/>
        <v>254.50599999999994</v>
      </c>
      <c r="J82" s="634">
        <f t="shared" si="21"/>
        <v>91</v>
      </c>
      <c r="K82" s="509">
        <f t="shared" si="21"/>
        <v>1060.512642</v>
      </c>
      <c r="L82" s="509">
        <f t="shared" si="21"/>
        <v>0</v>
      </c>
      <c r="M82" s="817">
        <f t="shared" si="21"/>
        <v>376</v>
      </c>
      <c r="N82" s="814">
        <f>0.271415*M82:M83</f>
        <v>102.05204</v>
      </c>
      <c r="O82" s="506"/>
    </row>
    <row r="83" spans="2:14" ht="15.75" hidden="1">
      <c r="B83" s="494"/>
      <c r="C83" s="494"/>
      <c r="D83" s="29"/>
      <c r="E83" s="29"/>
      <c r="F83" s="29"/>
      <c r="G83" s="495" t="e">
        <f>M82+#REF!+J82</f>
        <v>#REF!</v>
      </c>
      <c r="H83" s="349"/>
      <c r="I83" s="349"/>
      <c r="J83" s="494"/>
      <c r="K83" s="494"/>
      <c r="L83" s="496"/>
      <c r="M83" s="494"/>
      <c r="N83" s="349"/>
    </row>
    <row r="84" spans="2:15" ht="15.75">
      <c r="B84" s="349"/>
      <c r="C84" s="497"/>
      <c r="D84" s="497"/>
      <c r="E84" s="497"/>
      <c r="F84" s="497"/>
      <c r="G84" s="498"/>
      <c r="H84" s="499"/>
      <c r="I84" s="499"/>
      <c r="J84" s="499"/>
      <c r="K84" s="499"/>
      <c r="L84" s="500"/>
      <c r="M84" s="501"/>
      <c r="N84" s="501"/>
      <c r="O84" s="502"/>
    </row>
    <row r="85" spans="2:16" ht="15.75">
      <c r="B85" s="29"/>
      <c r="C85" s="29" t="s">
        <v>95</v>
      </c>
      <c r="D85" s="29"/>
      <c r="E85" s="29"/>
      <c r="F85" s="29"/>
      <c r="G85" s="30" t="s">
        <v>143</v>
      </c>
      <c r="H85" s="30"/>
      <c r="I85" s="30"/>
      <c r="J85" s="30"/>
      <c r="K85" s="30"/>
      <c r="L85" s="503"/>
      <c r="M85" s="349"/>
      <c r="N85" s="349"/>
      <c r="O85" s="23"/>
      <c r="P85" s="23"/>
    </row>
    <row r="86" spans="2:16" ht="15.75">
      <c r="B86" s="29"/>
      <c r="C86" s="29"/>
      <c r="D86" s="29"/>
      <c r="E86" s="29"/>
      <c r="F86" s="29"/>
      <c r="G86" s="30"/>
      <c r="H86" s="504"/>
      <c r="I86" s="30"/>
      <c r="J86" s="30"/>
      <c r="K86" s="30"/>
      <c r="L86" s="503"/>
      <c r="M86" s="349"/>
      <c r="N86" s="349"/>
      <c r="O86" s="23"/>
      <c r="P86" s="23"/>
    </row>
  </sheetData>
  <autoFilter ref="B12:O82"/>
  <mergeCells count="14">
    <mergeCell ref="E1:M1"/>
    <mergeCell ref="E2:M2"/>
    <mergeCell ref="E3:M3"/>
    <mergeCell ref="E5:M5"/>
    <mergeCell ref="N10:N11"/>
    <mergeCell ref="O10:O11"/>
    <mergeCell ref="B7:M7"/>
    <mergeCell ref="B8:M8"/>
    <mergeCell ref="B10:B11"/>
    <mergeCell ref="C10:C11"/>
    <mergeCell ref="D10:D11"/>
    <mergeCell ref="I10:I11"/>
    <mergeCell ref="K10:K11"/>
    <mergeCell ref="L10:L11"/>
  </mergeCells>
  <printOptions/>
  <pageMargins left="0.2362204724409449" right="0.2362204724409449" top="0.7480314960629921" bottom="0.7480314960629921" header="0.31496062992125984" footer="0.31496062992125984"/>
  <pageSetup fitToHeight="10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  <pageSetUpPr fitToPage="1"/>
  </sheetPr>
  <dimension ref="A1:V139"/>
  <sheetViews>
    <sheetView workbookViewId="0" topLeftCell="A1">
      <pane xSplit="2" ySplit="10" topLeftCell="D44" activePane="bottomRight" state="frozen"/>
      <selection pane="topRight" activeCell="C1" sqref="C1"/>
      <selection pane="bottomLeft" activeCell="A12" sqref="A12"/>
      <selection pane="bottomRight" activeCell="T30" sqref="T30"/>
    </sheetView>
  </sheetViews>
  <sheetFormatPr defaultColWidth="9.00390625" defaultRowHeight="12.75"/>
  <cols>
    <col min="1" max="1" width="5.25390625" style="107" customWidth="1"/>
    <col min="2" max="2" width="23.625" style="0" customWidth="1"/>
    <col min="3" max="3" width="8.125" style="0" hidden="1" customWidth="1"/>
    <col min="4" max="4" width="7.375" style="0" customWidth="1"/>
    <col min="5" max="5" width="10.625" style="0" customWidth="1"/>
    <col min="6" max="6" width="25.75390625" style="0" hidden="1" customWidth="1"/>
    <col min="7" max="7" width="11.125" style="0" hidden="1" customWidth="1"/>
    <col min="8" max="8" width="11.00390625" style="0" customWidth="1"/>
    <col min="9" max="9" width="10.875" style="0" customWidth="1"/>
    <col min="10" max="10" width="24.25390625" style="0" hidden="1" customWidth="1"/>
    <col min="11" max="11" width="9.375" style="0" hidden="1" customWidth="1"/>
    <col min="12" max="12" width="10.25390625" style="0" customWidth="1"/>
    <col min="13" max="13" width="10.125" style="0" customWidth="1"/>
    <col min="14" max="14" width="24.375" style="0" hidden="1" customWidth="1"/>
    <col min="15" max="15" width="6.375" style="0" hidden="1" customWidth="1"/>
    <col min="16" max="16" width="6.00390625" style="0" customWidth="1"/>
    <col min="17" max="17" width="9.75390625" style="0" customWidth="1"/>
    <col min="18" max="18" width="21.375" style="0" hidden="1" customWidth="1"/>
    <col min="21" max="21" width="12.25390625" style="0" bestFit="1" customWidth="1"/>
    <col min="22" max="22" width="11.875" style="0" bestFit="1" customWidth="1"/>
    <col min="253" max="253" width="5.25390625" style="0" customWidth="1"/>
    <col min="254" max="254" width="21.375" style="0" customWidth="1"/>
    <col min="255" max="255" width="9.00390625" style="0" hidden="1" customWidth="1"/>
    <col min="256" max="256" width="7.375" style="0" customWidth="1"/>
    <col min="257" max="257" width="10.625" style="0" customWidth="1"/>
    <col min="258" max="259" width="9.00390625" style="0" hidden="1" customWidth="1"/>
    <col min="260" max="260" width="7.125" style="0" customWidth="1"/>
    <col min="261" max="261" width="10.875" style="0" customWidth="1"/>
    <col min="262" max="263" width="9.00390625" style="0" hidden="1" customWidth="1"/>
    <col min="264" max="264" width="7.00390625" style="0" customWidth="1"/>
    <col min="265" max="265" width="10.125" style="0" customWidth="1"/>
    <col min="266" max="267" width="9.00390625" style="0" hidden="1" customWidth="1"/>
    <col min="268" max="268" width="6.00390625" style="0" customWidth="1"/>
    <col min="269" max="269" width="9.75390625" style="0" customWidth="1"/>
    <col min="270" max="274" width="9.00390625" style="0" hidden="1" customWidth="1"/>
    <col min="277" max="277" width="12.25390625" style="0" bestFit="1" customWidth="1"/>
    <col min="509" max="509" width="5.25390625" style="0" customWidth="1"/>
    <col min="510" max="510" width="21.375" style="0" customWidth="1"/>
    <col min="511" max="511" width="9.00390625" style="0" hidden="1" customWidth="1"/>
    <col min="512" max="512" width="7.375" style="0" customWidth="1"/>
    <col min="513" max="513" width="10.625" style="0" customWidth="1"/>
    <col min="514" max="515" width="9.00390625" style="0" hidden="1" customWidth="1"/>
    <col min="516" max="516" width="7.125" style="0" customWidth="1"/>
    <col min="517" max="517" width="10.875" style="0" customWidth="1"/>
    <col min="518" max="519" width="9.00390625" style="0" hidden="1" customWidth="1"/>
    <col min="520" max="520" width="7.00390625" style="0" customWidth="1"/>
    <col min="521" max="521" width="10.125" style="0" customWidth="1"/>
    <col min="522" max="523" width="9.00390625" style="0" hidden="1" customWidth="1"/>
    <col min="524" max="524" width="6.00390625" style="0" customWidth="1"/>
    <col min="525" max="525" width="9.75390625" style="0" customWidth="1"/>
    <col min="526" max="530" width="9.00390625" style="0" hidden="1" customWidth="1"/>
    <col min="533" max="533" width="12.25390625" style="0" bestFit="1" customWidth="1"/>
    <col min="765" max="765" width="5.25390625" style="0" customWidth="1"/>
    <col min="766" max="766" width="21.375" style="0" customWidth="1"/>
    <col min="767" max="767" width="9.00390625" style="0" hidden="1" customWidth="1"/>
    <col min="768" max="768" width="7.375" style="0" customWidth="1"/>
    <col min="769" max="769" width="10.625" style="0" customWidth="1"/>
    <col min="770" max="771" width="9.00390625" style="0" hidden="1" customWidth="1"/>
    <col min="772" max="772" width="7.125" style="0" customWidth="1"/>
    <col min="773" max="773" width="10.875" style="0" customWidth="1"/>
    <col min="774" max="775" width="9.00390625" style="0" hidden="1" customWidth="1"/>
    <col min="776" max="776" width="7.00390625" style="0" customWidth="1"/>
    <col min="777" max="777" width="10.125" style="0" customWidth="1"/>
    <col min="778" max="779" width="9.00390625" style="0" hidden="1" customWidth="1"/>
    <col min="780" max="780" width="6.00390625" style="0" customWidth="1"/>
    <col min="781" max="781" width="9.75390625" style="0" customWidth="1"/>
    <col min="782" max="786" width="9.00390625" style="0" hidden="1" customWidth="1"/>
    <col min="789" max="789" width="12.25390625" style="0" bestFit="1" customWidth="1"/>
    <col min="1021" max="1021" width="5.25390625" style="0" customWidth="1"/>
    <col min="1022" max="1022" width="21.375" style="0" customWidth="1"/>
    <col min="1023" max="1023" width="9.00390625" style="0" hidden="1" customWidth="1"/>
    <col min="1024" max="1024" width="7.375" style="0" customWidth="1"/>
    <col min="1025" max="1025" width="10.625" style="0" customWidth="1"/>
    <col min="1026" max="1027" width="9.00390625" style="0" hidden="1" customWidth="1"/>
    <col min="1028" max="1028" width="7.125" style="0" customWidth="1"/>
    <col min="1029" max="1029" width="10.875" style="0" customWidth="1"/>
    <col min="1030" max="1031" width="9.00390625" style="0" hidden="1" customWidth="1"/>
    <col min="1032" max="1032" width="7.00390625" style="0" customWidth="1"/>
    <col min="1033" max="1033" width="10.125" style="0" customWidth="1"/>
    <col min="1034" max="1035" width="9.00390625" style="0" hidden="1" customWidth="1"/>
    <col min="1036" max="1036" width="6.00390625" style="0" customWidth="1"/>
    <col min="1037" max="1037" width="9.75390625" style="0" customWidth="1"/>
    <col min="1038" max="1042" width="9.00390625" style="0" hidden="1" customWidth="1"/>
    <col min="1045" max="1045" width="12.25390625" style="0" bestFit="1" customWidth="1"/>
    <col min="1277" max="1277" width="5.25390625" style="0" customWidth="1"/>
    <col min="1278" max="1278" width="21.375" style="0" customWidth="1"/>
    <col min="1279" max="1279" width="9.00390625" style="0" hidden="1" customWidth="1"/>
    <col min="1280" max="1280" width="7.375" style="0" customWidth="1"/>
    <col min="1281" max="1281" width="10.625" style="0" customWidth="1"/>
    <col min="1282" max="1283" width="9.00390625" style="0" hidden="1" customWidth="1"/>
    <col min="1284" max="1284" width="7.125" style="0" customWidth="1"/>
    <col min="1285" max="1285" width="10.875" style="0" customWidth="1"/>
    <col min="1286" max="1287" width="9.00390625" style="0" hidden="1" customWidth="1"/>
    <col min="1288" max="1288" width="7.00390625" style="0" customWidth="1"/>
    <col min="1289" max="1289" width="10.125" style="0" customWidth="1"/>
    <col min="1290" max="1291" width="9.00390625" style="0" hidden="1" customWidth="1"/>
    <col min="1292" max="1292" width="6.00390625" style="0" customWidth="1"/>
    <col min="1293" max="1293" width="9.75390625" style="0" customWidth="1"/>
    <col min="1294" max="1298" width="9.00390625" style="0" hidden="1" customWidth="1"/>
    <col min="1301" max="1301" width="12.25390625" style="0" bestFit="1" customWidth="1"/>
    <col min="1533" max="1533" width="5.25390625" style="0" customWidth="1"/>
    <col min="1534" max="1534" width="21.375" style="0" customWidth="1"/>
    <col min="1535" max="1535" width="9.00390625" style="0" hidden="1" customWidth="1"/>
    <col min="1536" max="1536" width="7.375" style="0" customWidth="1"/>
    <col min="1537" max="1537" width="10.625" style="0" customWidth="1"/>
    <col min="1538" max="1539" width="9.00390625" style="0" hidden="1" customWidth="1"/>
    <col min="1540" max="1540" width="7.125" style="0" customWidth="1"/>
    <col min="1541" max="1541" width="10.875" style="0" customWidth="1"/>
    <col min="1542" max="1543" width="9.00390625" style="0" hidden="1" customWidth="1"/>
    <col min="1544" max="1544" width="7.00390625" style="0" customWidth="1"/>
    <col min="1545" max="1545" width="10.125" style="0" customWidth="1"/>
    <col min="1546" max="1547" width="9.00390625" style="0" hidden="1" customWidth="1"/>
    <col min="1548" max="1548" width="6.00390625" style="0" customWidth="1"/>
    <col min="1549" max="1549" width="9.75390625" style="0" customWidth="1"/>
    <col min="1550" max="1554" width="9.00390625" style="0" hidden="1" customWidth="1"/>
    <col min="1557" max="1557" width="12.25390625" style="0" bestFit="1" customWidth="1"/>
    <col min="1789" max="1789" width="5.25390625" style="0" customWidth="1"/>
    <col min="1790" max="1790" width="21.375" style="0" customWidth="1"/>
    <col min="1791" max="1791" width="9.00390625" style="0" hidden="1" customWidth="1"/>
    <col min="1792" max="1792" width="7.375" style="0" customWidth="1"/>
    <col min="1793" max="1793" width="10.625" style="0" customWidth="1"/>
    <col min="1794" max="1795" width="9.00390625" style="0" hidden="1" customWidth="1"/>
    <col min="1796" max="1796" width="7.125" style="0" customWidth="1"/>
    <col min="1797" max="1797" width="10.875" style="0" customWidth="1"/>
    <col min="1798" max="1799" width="9.00390625" style="0" hidden="1" customWidth="1"/>
    <col min="1800" max="1800" width="7.00390625" style="0" customWidth="1"/>
    <col min="1801" max="1801" width="10.125" style="0" customWidth="1"/>
    <col min="1802" max="1803" width="9.00390625" style="0" hidden="1" customWidth="1"/>
    <col min="1804" max="1804" width="6.00390625" style="0" customWidth="1"/>
    <col min="1805" max="1805" width="9.75390625" style="0" customWidth="1"/>
    <col min="1806" max="1810" width="9.00390625" style="0" hidden="1" customWidth="1"/>
    <col min="1813" max="1813" width="12.25390625" style="0" bestFit="1" customWidth="1"/>
    <col min="2045" max="2045" width="5.25390625" style="0" customWidth="1"/>
    <col min="2046" max="2046" width="21.375" style="0" customWidth="1"/>
    <col min="2047" max="2047" width="9.00390625" style="0" hidden="1" customWidth="1"/>
    <col min="2048" max="2048" width="7.375" style="0" customWidth="1"/>
    <col min="2049" max="2049" width="10.625" style="0" customWidth="1"/>
    <col min="2050" max="2051" width="9.00390625" style="0" hidden="1" customWidth="1"/>
    <col min="2052" max="2052" width="7.125" style="0" customWidth="1"/>
    <col min="2053" max="2053" width="10.875" style="0" customWidth="1"/>
    <col min="2054" max="2055" width="9.00390625" style="0" hidden="1" customWidth="1"/>
    <col min="2056" max="2056" width="7.00390625" style="0" customWidth="1"/>
    <col min="2057" max="2057" width="10.125" style="0" customWidth="1"/>
    <col min="2058" max="2059" width="9.00390625" style="0" hidden="1" customWidth="1"/>
    <col min="2060" max="2060" width="6.00390625" style="0" customWidth="1"/>
    <col min="2061" max="2061" width="9.75390625" style="0" customWidth="1"/>
    <col min="2062" max="2066" width="9.00390625" style="0" hidden="1" customWidth="1"/>
    <col min="2069" max="2069" width="12.25390625" style="0" bestFit="1" customWidth="1"/>
    <col min="2301" max="2301" width="5.25390625" style="0" customWidth="1"/>
    <col min="2302" max="2302" width="21.375" style="0" customWidth="1"/>
    <col min="2303" max="2303" width="9.00390625" style="0" hidden="1" customWidth="1"/>
    <col min="2304" max="2304" width="7.375" style="0" customWidth="1"/>
    <col min="2305" max="2305" width="10.625" style="0" customWidth="1"/>
    <col min="2306" max="2307" width="9.00390625" style="0" hidden="1" customWidth="1"/>
    <col min="2308" max="2308" width="7.125" style="0" customWidth="1"/>
    <col min="2309" max="2309" width="10.875" style="0" customWidth="1"/>
    <col min="2310" max="2311" width="9.00390625" style="0" hidden="1" customWidth="1"/>
    <col min="2312" max="2312" width="7.00390625" style="0" customWidth="1"/>
    <col min="2313" max="2313" width="10.125" style="0" customWidth="1"/>
    <col min="2314" max="2315" width="9.00390625" style="0" hidden="1" customWidth="1"/>
    <col min="2316" max="2316" width="6.00390625" style="0" customWidth="1"/>
    <col min="2317" max="2317" width="9.75390625" style="0" customWidth="1"/>
    <col min="2318" max="2322" width="9.00390625" style="0" hidden="1" customWidth="1"/>
    <col min="2325" max="2325" width="12.25390625" style="0" bestFit="1" customWidth="1"/>
    <col min="2557" max="2557" width="5.25390625" style="0" customWidth="1"/>
    <col min="2558" max="2558" width="21.375" style="0" customWidth="1"/>
    <col min="2559" max="2559" width="9.00390625" style="0" hidden="1" customWidth="1"/>
    <col min="2560" max="2560" width="7.375" style="0" customWidth="1"/>
    <col min="2561" max="2561" width="10.625" style="0" customWidth="1"/>
    <col min="2562" max="2563" width="9.00390625" style="0" hidden="1" customWidth="1"/>
    <col min="2564" max="2564" width="7.125" style="0" customWidth="1"/>
    <col min="2565" max="2565" width="10.875" style="0" customWidth="1"/>
    <col min="2566" max="2567" width="9.00390625" style="0" hidden="1" customWidth="1"/>
    <col min="2568" max="2568" width="7.00390625" style="0" customWidth="1"/>
    <col min="2569" max="2569" width="10.125" style="0" customWidth="1"/>
    <col min="2570" max="2571" width="9.00390625" style="0" hidden="1" customWidth="1"/>
    <col min="2572" max="2572" width="6.00390625" style="0" customWidth="1"/>
    <col min="2573" max="2573" width="9.75390625" style="0" customWidth="1"/>
    <col min="2574" max="2578" width="9.00390625" style="0" hidden="1" customWidth="1"/>
    <col min="2581" max="2581" width="12.25390625" style="0" bestFit="1" customWidth="1"/>
    <col min="2813" max="2813" width="5.25390625" style="0" customWidth="1"/>
    <col min="2814" max="2814" width="21.375" style="0" customWidth="1"/>
    <col min="2815" max="2815" width="9.00390625" style="0" hidden="1" customWidth="1"/>
    <col min="2816" max="2816" width="7.375" style="0" customWidth="1"/>
    <col min="2817" max="2817" width="10.625" style="0" customWidth="1"/>
    <col min="2818" max="2819" width="9.00390625" style="0" hidden="1" customWidth="1"/>
    <col min="2820" max="2820" width="7.125" style="0" customWidth="1"/>
    <col min="2821" max="2821" width="10.875" style="0" customWidth="1"/>
    <col min="2822" max="2823" width="9.00390625" style="0" hidden="1" customWidth="1"/>
    <col min="2824" max="2824" width="7.00390625" style="0" customWidth="1"/>
    <col min="2825" max="2825" width="10.125" style="0" customWidth="1"/>
    <col min="2826" max="2827" width="9.00390625" style="0" hidden="1" customWidth="1"/>
    <col min="2828" max="2828" width="6.00390625" style="0" customWidth="1"/>
    <col min="2829" max="2829" width="9.75390625" style="0" customWidth="1"/>
    <col min="2830" max="2834" width="9.00390625" style="0" hidden="1" customWidth="1"/>
    <col min="2837" max="2837" width="12.25390625" style="0" bestFit="1" customWidth="1"/>
    <col min="3069" max="3069" width="5.25390625" style="0" customWidth="1"/>
    <col min="3070" max="3070" width="21.375" style="0" customWidth="1"/>
    <col min="3071" max="3071" width="9.00390625" style="0" hidden="1" customWidth="1"/>
    <col min="3072" max="3072" width="7.375" style="0" customWidth="1"/>
    <col min="3073" max="3073" width="10.625" style="0" customWidth="1"/>
    <col min="3074" max="3075" width="9.00390625" style="0" hidden="1" customWidth="1"/>
    <col min="3076" max="3076" width="7.125" style="0" customWidth="1"/>
    <col min="3077" max="3077" width="10.875" style="0" customWidth="1"/>
    <col min="3078" max="3079" width="9.00390625" style="0" hidden="1" customWidth="1"/>
    <col min="3080" max="3080" width="7.00390625" style="0" customWidth="1"/>
    <col min="3081" max="3081" width="10.125" style="0" customWidth="1"/>
    <col min="3082" max="3083" width="9.00390625" style="0" hidden="1" customWidth="1"/>
    <col min="3084" max="3084" width="6.00390625" style="0" customWidth="1"/>
    <col min="3085" max="3085" width="9.75390625" style="0" customWidth="1"/>
    <col min="3086" max="3090" width="9.00390625" style="0" hidden="1" customWidth="1"/>
    <col min="3093" max="3093" width="12.25390625" style="0" bestFit="1" customWidth="1"/>
    <col min="3325" max="3325" width="5.25390625" style="0" customWidth="1"/>
    <col min="3326" max="3326" width="21.375" style="0" customWidth="1"/>
    <col min="3327" max="3327" width="9.00390625" style="0" hidden="1" customWidth="1"/>
    <col min="3328" max="3328" width="7.375" style="0" customWidth="1"/>
    <col min="3329" max="3329" width="10.625" style="0" customWidth="1"/>
    <col min="3330" max="3331" width="9.00390625" style="0" hidden="1" customWidth="1"/>
    <col min="3332" max="3332" width="7.125" style="0" customWidth="1"/>
    <col min="3333" max="3333" width="10.875" style="0" customWidth="1"/>
    <col min="3334" max="3335" width="9.00390625" style="0" hidden="1" customWidth="1"/>
    <col min="3336" max="3336" width="7.00390625" style="0" customWidth="1"/>
    <col min="3337" max="3337" width="10.125" style="0" customWidth="1"/>
    <col min="3338" max="3339" width="9.00390625" style="0" hidden="1" customWidth="1"/>
    <col min="3340" max="3340" width="6.00390625" style="0" customWidth="1"/>
    <col min="3341" max="3341" width="9.75390625" style="0" customWidth="1"/>
    <col min="3342" max="3346" width="9.00390625" style="0" hidden="1" customWidth="1"/>
    <col min="3349" max="3349" width="12.25390625" style="0" bestFit="1" customWidth="1"/>
    <col min="3581" max="3581" width="5.25390625" style="0" customWidth="1"/>
    <col min="3582" max="3582" width="21.375" style="0" customWidth="1"/>
    <col min="3583" max="3583" width="9.00390625" style="0" hidden="1" customWidth="1"/>
    <col min="3584" max="3584" width="7.375" style="0" customWidth="1"/>
    <col min="3585" max="3585" width="10.625" style="0" customWidth="1"/>
    <col min="3586" max="3587" width="9.00390625" style="0" hidden="1" customWidth="1"/>
    <col min="3588" max="3588" width="7.125" style="0" customWidth="1"/>
    <col min="3589" max="3589" width="10.875" style="0" customWidth="1"/>
    <col min="3590" max="3591" width="9.00390625" style="0" hidden="1" customWidth="1"/>
    <col min="3592" max="3592" width="7.00390625" style="0" customWidth="1"/>
    <col min="3593" max="3593" width="10.125" style="0" customWidth="1"/>
    <col min="3594" max="3595" width="9.00390625" style="0" hidden="1" customWidth="1"/>
    <col min="3596" max="3596" width="6.00390625" style="0" customWidth="1"/>
    <col min="3597" max="3597" width="9.75390625" style="0" customWidth="1"/>
    <col min="3598" max="3602" width="9.00390625" style="0" hidden="1" customWidth="1"/>
    <col min="3605" max="3605" width="12.25390625" style="0" bestFit="1" customWidth="1"/>
    <col min="3837" max="3837" width="5.25390625" style="0" customWidth="1"/>
    <col min="3838" max="3838" width="21.375" style="0" customWidth="1"/>
    <col min="3839" max="3839" width="9.00390625" style="0" hidden="1" customWidth="1"/>
    <col min="3840" max="3840" width="7.375" style="0" customWidth="1"/>
    <col min="3841" max="3841" width="10.625" style="0" customWidth="1"/>
    <col min="3842" max="3843" width="9.00390625" style="0" hidden="1" customWidth="1"/>
    <col min="3844" max="3844" width="7.125" style="0" customWidth="1"/>
    <col min="3845" max="3845" width="10.875" style="0" customWidth="1"/>
    <col min="3846" max="3847" width="9.00390625" style="0" hidden="1" customWidth="1"/>
    <col min="3848" max="3848" width="7.00390625" style="0" customWidth="1"/>
    <col min="3849" max="3849" width="10.125" style="0" customWidth="1"/>
    <col min="3850" max="3851" width="9.00390625" style="0" hidden="1" customWidth="1"/>
    <col min="3852" max="3852" width="6.00390625" style="0" customWidth="1"/>
    <col min="3853" max="3853" width="9.75390625" style="0" customWidth="1"/>
    <col min="3854" max="3858" width="9.00390625" style="0" hidden="1" customWidth="1"/>
    <col min="3861" max="3861" width="12.25390625" style="0" bestFit="1" customWidth="1"/>
    <col min="4093" max="4093" width="5.25390625" style="0" customWidth="1"/>
    <col min="4094" max="4094" width="21.375" style="0" customWidth="1"/>
    <col min="4095" max="4095" width="9.00390625" style="0" hidden="1" customWidth="1"/>
    <col min="4096" max="4096" width="7.375" style="0" customWidth="1"/>
    <col min="4097" max="4097" width="10.625" style="0" customWidth="1"/>
    <col min="4098" max="4099" width="9.00390625" style="0" hidden="1" customWidth="1"/>
    <col min="4100" max="4100" width="7.125" style="0" customWidth="1"/>
    <col min="4101" max="4101" width="10.875" style="0" customWidth="1"/>
    <col min="4102" max="4103" width="9.00390625" style="0" hidden="1" customWidth="1"/>
    <col min="4104" max="4104" width="7.00390625" style="0" customWidth="1"/>
    <col min="4105" max="4105" width="10.125" style="0" customWidth="1"/>
    <col min="4106" max="4107" width="9.00390625" style="0" hidden="1" customWidth="1"/>
    <col min="4108" max="4108" width="6.00390625" style="0" customWidth="1"/>
    <col min="4109" max="4109" width="9.75390625" style="0" customWidth="1"/>
    <col min="4110" max="4114" width="9.00390625" style="0" hidden="1" customWidth="1"/>
    <col min="4117" max="4117" width="12.25390625" style="0" bestFit="1" customWidth="1"/>
    <col min="4349" max="4349" width="5.25390625" style="0" customWidth="1"/>
    <col min="4350" max="4350" width="21.375" style="0" customWidth="1"/>
    <col min="4351" max="4351" width="9.00390625" style="0" hidden="1" customWidth="1"/>
    <col min="4352" max="4352" width="7.375" style="0" customWidth="1"/>
    <col min="4353" max="4353" width="10.625" style="0" customWidth="1"/>
    <col min="4354" max="4355" width="9.00390625" style="0" hidden="1" customWidth="1"/>
    <col min="4356" max="4356" width="7.125" style="0" customWidth="1"/>
    <col min="4357" max="4357" width="10.875" style="0" customWidth="1"/>
    <col min="4358" max="4359" width="9.00390625" style="0" hidden="1" customWidth="1"/>
    <col min="4360" max="4360" width="7.00390625" style="0" customWidth="1"/>
    <col min="4361" max="4361" width="10.125" style="0" customWidth="1"/>
    <col min="4362" max="4363" width="9.00390625" style="0" hidden="1" customWidth="1"/>
    <col min="4364" max="4364" width="6.00390625" style="0" customWidth="1"/>
    <col min="4365" max="4365" width="9.75390625" style="0" customWidth="1"/>
    <col min="4366" max="4370" width="9.00390625" style="0" hidden="1" customWidth="1"/>
    <col min="4373" max="4373" width="12.25390625" style="0" bestFit="1" customWidth="1"/>
    <col min="4605" max="4605" width="5.25390625" style="0" customWidth="1"/>
    <col min="4606" max="4606" width="21.375" style="0" customWidth="1"/>
    <col min="4607" max="4607" width="9.00390625" style="0" hidden="1" customWidth="1"/>
    <col min="4608" max="4608" width="7.375" style="0" customWidth="1"/>
    <col min="4609" max="4609" width="10.625" style="0" customWidth="1"/>
    <col min="4610" max="4611" width="9.00390625" style="0" hidden="1" customWidth="1"/>
    <col min="4612" max="4612" width="7.125" style="0" customWidth="1"/>
    <col min="4613" max="4613" width="10.875" style="0" customWidth="1"/>
    <col min="4614" max="4615" width="9.00390625" style="0" hidden="1" customWidth="1"/>
    <col min="4616" max="4616" width="7.00390625" style="0" customWidth="1"/>
    <col min="4617" max="4617" width="10.125" style="0" customWidth="1"/>
    <col min="4618" max="4619" width="9.00390625" style="0" hidden="1" customWidth="1"/>
    <col min="4620" max="4620" width="6.00390625" style="0" customWidth="1"/>
    <col min="4621" max="4621" width="9.75390625" style="0" customWidth="1"/>
    <col min="4622" max="4626" width="9.00390625" style="0" hidden="1" customWidth="1"/>
    <col min="4629" max="4629" width="12.25390625" style="0" bestFit="1" customWidth="1"/>
    <col min="4861" max="4861" width="5.25390625" style="0" customWidth="1"/>
    <col min="4862" max="4862" width="21.375" style="0" customWidth="1"/>
    <col min="4863" max="4863" width="9.00390625" style="0" hidden="1" customWidth="1"/>
    <col min="4864" max="4864" width="7.375" style="0" customWidth="1"/>
    <col min="4865" max="4865" width="10.625" style="0" customWidth="1"/>
    <col min="4866" max="4867" width="9.00390625" style="0" hidden="1" customWidth="1"/>
    <col min="4868" max="4868" width="7.125" style="0" customWidth="1"/>
    <col min="4869" max="4869" width="10.875" style="0" customWidth="1"/>
    <col min="4870" max="4871" width="9.00390625" style="0" hidden="1" customWidth="1"/>
    <col min="4872" max="4872" width="7.00390625" style="0" customWidth="1"/>
    <col min="4873" max="4873" width="10.125" style="0" customWidth="1"/>
    <col min="4874" max="4875" width="9.00390625" style="0" hidden="1" customWidth="1"/>
    <col min="4876" max="4876" width="6.00390625" style="0" customWidth="1"/>
    <col min="4877" max="4877" width="9.75390625" style="0" customWidth="1"/>
    <col min="4878" max="4882" width="9.00390625" style="0" hidden="1" customWidth="1"/>
    <col min="4885" max="4885" width="12.25390625" style="0" bestFit="1" customWidth="1"/>
    <col min="5117" max="5117" width="5.25390625" style="0" customWidth="1"/>
    <col min="5118" max="5118" width="21.375" style="0" customWidth="1"/>
    <col min="5119" max="5119" width="9.00390625" style="0" hidden="1" customWidth="1"/>
    <col min="5120" max="5120" width="7.375" style="0" customWidth="1"/>
    <col min="5121" max="5121" width="10.625" style="0" customWidth="1"/>
    <col min="5122" max="5123" width="9.00390625" style="0" hidden="1" customWidth="1"/>
    <col min="5124" max="5124" width="7.125" style="0" customWidth="1"/>
    <col min="5125" max="5125" width="10.875" style="0" customWidth="1"/>
    <col min="5126" max="5127" width="9.00390625" style="0" hidden="1" customWidth="1"/>
    <col min="5128" max="5128" width="7.00390625" style="0" customWidth="1"/>
    <col min="5129" max="5129" width="10.125" style="0" customWidth="1"/>
    <col min="5130" max="5131" width="9.00390625" style="0" hidden="1" customWidth="1"/>
    <col min="5132" max="5132" width="6.00390625" style="0" customWidth="1"/>
    <col min="5133" max="5133" width="9.75390625" style="0" customWidth="1"/>
    <col min="5134" max="5138" width="9.00390625" style="0" hidden="1" customWidth="1"/>
    <col min="5141" max="5141" width="12.25390625" style="0" bestFit="1" customWidth="1"/>
    <col min="5373" max="5373" width="5.25390625" style="0" customWidth="1"/>
    <col min="5374" max="5374" width="21.375" style="0" customWidth="1"/>
    <col min="5375" max="5375" width="9.00390625" style="0" hidden="1" customWidth="1"/>
    <col min="5376" max="5376" width="7.375" style="0" customWidth="1"/>
    <col min="5377" max="5377" width="10.625" style="0" customWidth="1"/>
    <col min="5378" max="5379" width="9.00390625" style="0" hidden="1" customWidth="1"/>
    <col min="5380" max="5380" width="7.125" style="0" customWidth="1"/>
    <col min="5381" max="5381" width="10.875" style="0" customWidth="1"/>
    <col min="5382" max="5383" width="9.00390625" style="0" hidden="1" customWidth="1"/>
    <col min="5384" max="5384" width="7.00390625" style="0" customWidth="1"/>
    <col min="5385" max="5385" width="10.125" style="0" customWidth="1"/>
    <col min="5386" max="5387" width="9.00390625" style="0" hidden="1" customWidth="1"/>
    <col min="5388" max="5388" width="6.00390625" style="0" customWidth="1"/>
    <col min="5389" max="5389" width="9.75390625" style="0" customWidth="1"/>
    <col min="5390" max="5394" width="9.00390625" style="0" hidden="1" customWidth="1"/>
    <col min="5397" max="5397" width="12.25390625" style="0" bestFit="1" customWidth="1"/>
    <col min="5629" max="5629" width="5.25390625" style="0" customWidth="1"/>
    <col min="5630" max="5630" width="21.375" style="0" customWidth="1"/>
    <col min="5631" max="5631" width="9.00390625" style="0" hidden="1" customWidth="1"/>
    <col min="5632" max="5632" width="7.375" style="0" customWidth="1"/>
    <col min="5633" max="5633" width="10.625" style="0" customWidth="1"/>
    <col min="5634" max="5635" width="9.00390625" style="0" hidden="1" customWidth="1"/>
    <col min="5636" max="5636" width="7.125" style="0" customWidth="1"/>
    <col min="5637" max="5637" width="10.875" style="0" customWidth="1"/>
    <col min="5638" max="5639" width="9.00390625" style="0" hidden="1" customWidth="1"/>
    <col min="5640" max="5640" width="7.00390625" style="0" customWidth="1"/>
    <col min="5641" max="5641" width="10.125" style="0" customWidth="1"/>
    <col min="5642" max="5643" width="9.00390625" style="0" hidden="1" customWidth="1"/>
    <col min="5644" max="5644" width="6.00390625" style="0" customWidth="1"/>
    <col min="5645" max="5645" width="9.75390625" style="0" customWidth="1"/>
    <col min="5646" max="5650" width="9.00390625" style="0" hidden="1" customWidth="1"/>
    <col min="5653" max="5653" width="12.25390625" style="0" bestFit="1" customWidth="1"/>
    <col min="5885" max="5885" width="5.25390625" style="0" customWidth="1"/>
    <col min="5886" max="5886" width="21.375" style="0" customWidth="1"/>
    <col min="5887" max="5887" width="9.00390625" style="0" hidden="1" customWidth="1"/>
    <col min="5888" max="5888" width="7.375" style="0" customWidth="1"/>
    <col min="5889" max="5889" width="10.625" style="0" customWidth="1"/>
    <col min="5890" max="5891" width="9.00390625" style="0" hidden="1" customWidth="1"/>
    <col min="5892" max="5892" width="7.125" style="0" customWidth="1"/>
    <col min="5893" max="5893" width="10.875" style="0" customWidth="1"/>
    <col min="5894" max="5895" width="9.00390625" style="0" hidden="1" customWidth="1"/>
    <col min="5896" max="5896" width="7.00390625" style="0" customWidth="1"/>
    <col min="5897" max="5897" width="10.125" style="0" customWidth="1"/>
    <col min="5898" max="5899" width="9.00390625" style="0" hidden="1" customWidth="1"/>
    <col min="5900" max="5900" width="6.00390625" style="0" customWidth="1"/>
    <col min="5901" max="5901" width="9.75390625" style="0" customWidth="1"/>
    <col min="5902" max="5906" width="9.00390625" style="0" hidden="1" customWidth="1"/>
    <col min="5909" max="5909" width="12.25390625" style="0" bestFit="1" customWidth="1"/>
    <col min="6141" max="6141" width="5.25390625" style="0" customWidth="1"/>
    <col min="6142" max="6142" width="21.375" style="0" customWidth="1"/>
    <col min="6143" max="6143" width="9.00390625" style="0" hidden="1" customWidth="1"/>
    <col min="6144" max="6144" width="7.375" style="0" customWidth="1"/>
    <col min="6145" max="6145" width="10.625" style="0" customWidth="1"/>
    <col min="6146" max="6147" width="9.00390625" style="0" hidden="1" customWidth="1"/>
    <col min="6148" max="6148" width="7.125" style="0" customWidth="1"/>
    <col min="6149" max="6149" width="10.875" style="0" customWidth="1"/>
    <col min="6150" max="6151" width="9.00390625" style="0" hidden="1" customWidth="1"/>
    <col min="6152" max="6152" width="7.00390625" style="0" customWidth="1"/>
    <col min="6153" max="6153" width="10.125" style="0" customWidth="1"/>
    <col min="6154" max="6155" width="9.00390625" style="0" hidden="1" customWidth="1"/>
    <col min="6156" max="6156" width="6.00390625" style="0" customWidth="1"/>
    <col min="6157" max="6157" width="9.75390625" style="0" customWidth="1"/>
    <col min="6158" max="6162" width="9.00390625" style="0" hidden="1" customWidth="1"/>
    <col min="6165" max="6165" width="12.25390625" style="0" bestFit="1" customWidth="1"/>
    <col min="6397" max="6397" width="5.25390625" style="0" customWidth="1"/>
    <col min="6398" max="6398" width="21.375" style="0" customWidth="1"/>
    <col min="6399" max="6399" width="9.00390625" style="0" hidden="1" customWidth="1"/>
    <col min="6400" max="6400" width="7.375" style="0" customWidth="1"/>
    <col min="6401" max="6401" width="10.625" style="0" customWidth="1"/>
    <col min="6402" max="6403" width="9.00390625" style="0" hidden="1" customWidth="1"/>
    <col min="6404" max="6404" width="7.125" style="0" customWidth="1"/>
    <col min="6405" max="6405" width="10.875" style="0" customWidth="1"/>
    <col min="6406" max="6407" width="9.00390625" style="0" hidden="1" customWidth="1"/>
    <col min="6408" max="6408" width="7.00390625" style="0" customWidth="1"/>
    <col min="6409" max="6409" width="10.125" style="0" customWidth="1"/>
    <col min="6410" max="6411" width="9.00390625" style="0" hidden="1" customWidth="1"/>
    <col min="6412" max="6412" width="6.00390625" style="0" customWidth="1"/>
    <col min="6413" max="6413" width="9.75390625" style="0" customWidth="1"/>
    <col min="6414" max="6418" width="9.00390625" style="0" hidden="1" customWidth="1"/>
    <col min="6421" max="6421" width="12.25390625" style="0" bestFit="1" customWidth="1"/>
    <col min="6653" max="6653" width="5.25390625" style="0" customWidth="1"/>
    <col min="6654" max="6654" width="21.375" style="0" customWidth="1"/>
    <col min="6655" max="6655" width="9.00390625" style="0" hidden="1" customWidth="1"/>
    <col min="6656" max="6656" width="7.375" style="0" customWidth="1"/>
    <col min="6657" max="6657" width="10.625" style="0" customWidth="1"/>
    <col min="6658" max="6659" width="9.00390625" style="0" hidden="1" customWidth="1"/>
    <col min="6660" max="6660" width="7.125" style="0" customWidth="1"/>
    <col min="6661" max="6661" width="10.875" style="0" customWidth="1"/>
    <col min="6662" max="6663" width="9.00390625" style="0" hidden="1" customWidth="1"/>
    <col min="6664" max="6664" width="7.00390625" style="0" customWidth="1"/>
    <col min="6665" max="6665" width="10.125" style="0" customWidth="1"/>
    <col min="6666" max="6667" width="9.00390625" style="0" hidden="1" customWidth="1"/>
    <col min="6668" max="6668" width="6.00390625" style="0" customWidth="1"/>
    <col min="6669" max="6669" width="9.75390625" style="0" customWidth="1"/>
    <col min="6670" max="6674" width="9.00390625" style="0" hidden="1" customWidth="1"/>
    <col min="6677" max="6677" width="12.25390625" style="0" bestFit="1" customWidth="1"/>
    <col min="6909" max="6909" width="5.25390625" style="0" customWidth="1"/>
    <col min="6910" max="6910" width="21.375" style="0" customWidth="1"/>
    <col min="6911" max="6911" width="9.00390625" style="0" hidden="1" customWidth="1"/>
    <col min="6912" max="6912" width="7.375" style="0" customWidth="1"/>
    <col min="6913" max="6913" width="10.625" style="0" customWidth="1"/>
    <col min="6914" max="6915" width="9.00390625" style="0" hidden="1" customWidth="1"/>
    <col min="6916" max="6916" width="7.125" style="0" customWidth="1"/>
    <col min="6917" max="6917" width="10.875" style="0" customWidth="1"/>
    <col min="6918" max="6919" width="9.00390625" style="0" hidden="1" customWidth="1"/>
    <col min="6920" max="6920" width="7.00390625" style="0" customWidth="1"/>
    <col min="6921" max="6921" width="10.125" style="0" customWidth="1"/>
    <col min="6922" max="6923" width="9.00390625" style="0" hidden="1" customWidth="1"/>
    <col min="6924" max="6924" width="6.00390625" style="0" customWidth="1"/>
    <col min="6925" max="6925" width="9.75390625" style="0" customWidth="1"/>
    <col min="6926" max="6930" width="9.00390625" style="0" hidden="1" customWidth="1"/>
    <col min="6933" max="6933" width="12.25390625" style="0" bestFit="1" customWidth="1"/>
    <col min="7165" max="7165" width="5.25390625" style="0" customWidth="1"/>
    <col min="7166" max="7166" width="21.375" style="0" customWidth="1"/>
    <col min="7167" max="7167" width="9.00390625" style="0" hidden="1" customWidth="1"/>
    <col min="7168" max="7168" width="7.375" style="0" customWidth="1"/>
    <col min="7169" max="7169" width="10.625" style="0" customWidth="1"/>
    <col min="7170" max="7171" width="9.00390625" style="0" hidden="1" customWidth="1"/>
    <col min="7172" max="7172" width="7.125" style="0" customWidth="1"/>
    <col min="7173" max="7173" width="10.875" style="0" customWidth="1"/>
    <col min="7174" max="7175" width="9.00390625" style="0" hidden="1" customWidth="1"/>
    <col min="7176" max="7176" width="7.00390625" style="0" customWidth="1"/>
    <col min="7177" max="7177" width="10.125" style="0" customWidth="1"/>
    <col min="7178" max="7179" width="9.00390625" style="0" hidden="1" customWidth="1"/>
    <col min="7180" max="7180" width="6.00390625" style="0" customWidth="1"/>
    <col min="7181" max="7181" width="9.75390625" style="0" customWidth="1"/>
    <col min="7182" max="7186" width="9.00390625" style="0" hidden="1" customWidth="1"/>
    <col min="7189" max="7189" width="12.25390625" style="0" bestFit="1" customWidth="1"/>
    <col min="7421" max="7421" width="5.25390625" style="0" customWidth="1"/>
    <col min="7422" max="7422" width="21.375" style="0" customWidth="1"/>
    <col min="7423" max="7423" width="9.00390625" style="0" hidden="1" customWidth="1"/>
    <col min="7424" max="7424" width="7.375" style="0" customWidth="1"/>
    <col min="7425" max="7425" width="10.625" style="0" customWidth="1"/>
    <col min="7426" max="7427" width="9.00390625" style="0" hidden="1" customWidth="1"/>
    <col min="7428" max="7428" width="7.125" style="0" customWidth="1"/>
    <col min="7429" max="7429" width="10.875" style="0" customWidth="1"/>
    <col min="7430" max="7431" width="9.00390625" style="0" hidden="1" customWidth="1"/>
    <col min="7432" max="7432" width="7.00390625" style="0" customWidth="1"/>
    <col min="7433" max="7433" width="10.125" style="0" customWidth="1"/>
    <col min="7434" max="7435" width="9.00390625" style="0" hidden="1" customWidth="1"/>
    <col min="7436" max="7436" width="6.00390625" style="0" customWidth="1"/>
    <col min="7437" max="7437" width="9.75390625" style="0" customWidth="1"/>
    <col min="7438" max="7442" width="9.00390625" style="0" hidden="1" customWidth="1"/>
    <col min="7445" max="7445" width="12.25390625" style="0" bestFit="1" customWidth="1"/>
    <col min="7677" max="7677" width="5.25390625" style="0" customWidth="1"/>
    <col min="7678" max="7678" width="21.375" style="0" customWidth="1"/>
    <col min="7679" max="7679" width="9.00390625" style="0" hidden="1" customWidth="1"/>
    <col min="7680" max="7680" width="7.375" style="0" customWidth="1"/>
    <col min="7681" max="7681" width="10.625" style="0" customWidth="1"/>
    <col min="7682" max="7683" width="9.00390625" style="0" hidden="1" customWidth="1"/>
    <col min="7684" max="7684" width="7.125" style="0" customWidth="1"/>
    <col min="7685" max="7685" width="10.875" style="0" customWidth="1"/>
    <col min="7686" max="7687" width="9.00390625" style="0" hidden="1" customWidth="1"/>
    <col min="7688" max="7688" width="7.00390625" style="0" customWidth="1"/>
    <col min="7689" max="7689" width="10.125" style="0" customWidth="1"/>
    <col min="7690" max="7691" width="9.00390625" style="0" hidden="1" customWidth="1"/>
    <col min="7692" max="7692" width="6.00390625" style="0" customWidth="1"/>
    <col min="7693" max="7693" width="9.75390625" style="0" customWidth="1"/>
    <col min="7694" max="7698" width="9.00390625" style="0" hidden="1" customWidth="1"/>
    <col min="7701" max="7701" width="12.25390625" style="0" bestFit="1" customWidth="1"/>
    <col min="7933" max="7933" width="5.25390625" style="0" customWidth="1"/>
    <col min="7934" max="7934" width="21.375" style="0" customWidth="1"/>
    <col min="7935" max="7935" width="9.00390625" style="0" hidden="1" customWidth="1"/>
    <col min="7936" max="7936" width="7.375" style="0" customWidth="1"/>
    <col min="7937" max="7937" width="10.625" style="0" customWidth="1"/>
    <col min="7938" max="7939" width="9.00390625" style="0" hidden="1" customWidth="1"/>
    <col min="7940" max="7940" width="7.125" style="0" customWidth="1"/>
    <col min="7941" max="7941" width="10.875" style="0" customWidth="1"/>
    <col min="7942" max="7943" width="9.00390625" style="0" hidden="1" customWidth="1"/>
    <col min="7944" max="7944" width="7.00390625" style="0" customWidth="1"/>
    <col min="7945" max="7945" width="10.125" style="0" customWidth="1"/>
    <col min="7946" max="7947" width="9.00390625" style="0" hidden="1" customWidth="1"/>
    <col min="7948" max="7948" width="6.00390625" style="0" customWidth="1"/>
    <col min="7949" max="7949" width="9.75390625" style="0" customWidth="1"/>
    <col min="7950" max="7954" width="9.00390625" style="0" hidden="1" customWidth="1"/>
    <col min="7957" max="7957" width="12.25390625" style="0" bestFit="1" customWidth="1"/>
    <col min="8189" max="8189" width="5.25390625" style="0" customWidth="1"/>
    <col min="8190" max="8190" width="21.375" style="0" customWidth="1"/>
    <col min="8191" max="8191" width="9.00390625" style="0" hidden="1" customWidth="1"/>
    <col min="8192" max="8192" width="7.375" style="0" customWidth="1"/>
    <col min="8193" max="8193" width="10.625" style="0" customWidth="1"/>
    <col min="8194" max="8195" width="9.00390625" style="0" hidden="1" customWidth="1"/>
    <col min="8196" max="8196" width="7.125" style="0" customWidth="1"/>
    <col min="8197" max="8197" width="10.875" style="0" customWidth="1"/>
    <col min="8198" max="8199" width="9.00390625" style="0" hidden="1" customWidth="1"/>
    <col min="8200" max="8200" width="7.00390625" style="0" customWidth="1"/>
    <col min="8201" max="8201" width="10.125" style="0" customWidth="1"/>
    <col min="8202" max="8203" width="9.00390625" style="0" hidden="1" customWidth="1"/>
    <col min="8204" max="8204" width="6.00390625" style="0" customWidth="1"/>
    <col min="8205" max="8205" width="9.75390625" style="0" customWidth="1"/>
    <col min="8206" max="8210" width="9.00390625" style="0" hidden="1" customWidth="1"/>
    <col min="8213" max="8213" width="12.25390625" style="0" bestFit="1" customWidth="1"/>
    <col min="8445" max="8445" width="5.25390625" style="0" customWidth="1"/>
    <col min="8446" max="8446" width="21.375" style="0" customWidth="1"/>
    <col min="8447" max="8447" width="9.00390625" style="0" hidden="1" customWidth="1"/>
    <col min="8448" max="8448" width="7.375" style="0" customWidth="1"/>
    <col min="8449" max="8449" width="10.625" style="0" customWidth="1"/>
    <col min="8450" max="8451" width="9.00390625" style="0" hidden="1" customWidth="1"/>
    <col min="8452" max="8452" width="7.125" style="0" customWidth="1"/>
    <col min="8453" max="8453" width="10.875" style="0" customWidth="1"/>
    <col min="8454" max="8455" width="9.00390625" style="0" hidden="1" customWidth="1"/>
    <col min="8456" max="8456" width="7.00390625" style="0" customWidth="1"/>
    <col min="8457" max="8457" width="10.125" style="0" customWidth="1"/>
    <col min="8458" max="8459" width="9.00390625" style="0" hidden="1" customWidth="1"/>
    <col min="8460" max="8460" width="6.00390625" style="0" customWidth="1"/>
    <col min="8461" max="8461" width="9.75390625" style="0" customWidth="1"/>
    <col min="8462" max="8466" width="9.00390625" style="0" hidden="1" customWidth="1"/>
    <col min="8469" max="8469" width="12.25390625" style="0" bestFit="1" customWidth="1"/>
    <col min="8701" max="8701" width="5.25390625" style="0" customWidth="1"/>
    <col min="8702" max="8702" width="21.375" style="0" customWidth="1"/>
    <col min="8703" max="8703" width="9.00390625" style="0" hidden="1" customWidth="1"/>
    <col min="8704" max="8704" width="7.375" style="0" customWidth="1"/>
    <col min="8705" max="8705" width="10.625" style="0" customWidth="1"/>
    <col min="8706" max="8707" width="9.00390625" style="0" hidden="1" customWidth="1"/>
    <col min="8708" max="8708" width="7.125" style="0" customWidth="1"/>
    <col min="8709" max="8709" width="10.875" style="0" customWidth="1"/>
    <col min="8710" max="8711" width="9.00390625" style="0" hidden="1" customWidth="1"/>
    <col min="8712" max="8712" width="7.00390625" style="0" customWidth="1"/>
    <col min="8713" max="8713" width="10.125" style="0" customWidth="1"/>
    <col min="8714" max="8715" width="9.00390625" style="0" hidden="1" customWidth="1"/>
    <col min="8716" max="8716" width="6.00390625" style="0" customWidth="1"/>
    <col min="8717" max="8717" width="9.75390625" style="0" customWidth="1"/>
    <col min="8718" max="8722" width="9.00390625" style="0" hidden="1" customWidth="1"/>
    <col min="8725" max="8725" width="12.25390625" style="0" bestFit="1" customWidth="1"/>
    <col min="8957" max="8957" width="5.25390625" style="0" customWidth="1"/>
    <col min="8958" max="8958" width="21.375" style="0" customWidth="1"/>
    <col min="8959" max="8959" width="9.00390625" style="0" hidden="1" customWidth="1"/>
    <col min="8960" max="8960" width="7.375" style="0" customWidth="1"/>
    <col min="8961" max="8961" width="10.625" style="0" customWidth="1"/>
    <col min="8962" max="8963" width="9.00390625" style="0" hidden="1" customWidth="1"/>
    <col min="8964" max="8964" width="7.125" style="0" customWidth="1"/>
    <col min="8965" max="8965" width="10.875" style="0" customWidth="1"/>
    <col min="8966" max="8967" width="9.00390625" style="0" hidden="1" customWidth="1"/>
    <col min="8968" max="8968" width="7.00390625" style="0" customWidth="1"/>
    <col min="8969" max="8969" width="10.125" style="0" customWidth="1"/>
    <col min="8970" max="8971" width="9.00390625" style="0" hidden="1" customWidth="1"/>
    <col min="8972" max="8972" width="6.00390625" style="0" customWidth="1"/>
    <col min="8973" max="8973" width="9.75390625" style="0" customWidth="1"/>
    <col min="8974" max="8978" width="9.00390625" style="0" hidden="1" customWidth="1"/>
    <col min="8981" max="8981" width="12.25390625" style="0" bestFit="1" customWidth="1"/>
    <col min="9213" max="9213" width="5.25390625" style="0" customWidth="1"/>
    <col min="9214" max="9214" width="21.375" style="0" customWidth="1"/>
    <col min="9215" max="9215" width="9.00390625" style="0" hidden="1" customWidth="1"/>
    <col min="9216" max="9216" width="7.375" style="0" customWidth="1"/>
    <col min="9217" max="9217" width="10.625" style="0" customWidth="1"/>
    <col min="9218" max="9219" width="9.00390625" style="0" hidden="1" customWidth="1"/>
    <col min="9220" max="9220" width="7.125" style="0" customWidth="1"/>
    <col min="9221" max="9221" width="10.875" style="0" customWidth="1"/>
    <col min="9222" max="9223" width="9.00390625" style="0" hidden="1" customWidth="1"/>
    <col min="9224" max="9224" width="7.00390625" style="0" customWidth="1"/>
    <col min="9225" max="9225" width="10.125" style="0" customWidth="1"/>
    <col min="9226" max="9227" width="9.00390625" style="0" hidden="1" customWidth="1"/>
    <col min="9228" max="9228" width="6.00390625" style="0" customWidth="1"/>
    <col min="9229" max="9229" width="9.75390625" style="0" customWidth="1"/>
    <col min="9230" max="9234" width="9.00390625" style="0" hidden="1" customWidth="1"/>
    <col min="9237" max="9237" width="12.25390625" style="0" bestFit="1" customWidth="1"/>
    <col min="9469" max="9469" width="5.25390625" style="0" customWidth="1"/>
    <col min="9470" max="9470" width="21.375" style="0" customWidth="1"/>
    <col min="9471" max="9471" width="9.00390625" style="0" hidden="1" customWidth="1"/>
    <col min="9472" max="9472" width="7.375" style="0" customWidth="1"/>
    <col min="9473" max="9473" width="10.625" style="0" customWidth="1"/>
    <col min="9474" max="9475" width="9.00390625" style="0" hidden="1" customWidth="1"/>
    <col min="9476" max="9476" width="7.125" style="0" customWidth="1"/>
    <col min="9477" max="9477" width="10.875" style="0" customWidth="1"/>
    <col min="9478" max="9479" width="9.00390625" style="0" hidden="1" customWidth="1"/>
    <col min="9480" max="9480" width="7.00390625" style="0" customWidth="1"/>
    <col min="9481" max="9481" width="10.125" style="0" customWidth="1"/>
    <col min="9482" max="9483" width="9.00390625" style="0" hidden="1" customWidth="1"/>
    <col min="9484" max="9484" width="6.00390625" style="0" customWidth="1"/>
    <col min="9485" max="9485" width="9.75390625" style="0" customWidth="1"/>
    <col min="9486" max="9490" width="9.00390625" style="0" hidden="1" customWidth="1"/>
    <col min="9493" max="9493" width="12.25390625" style="0" bestFit="1" customWidth="1"/>
    <col min="9725" max="9725" width="5.25390625" style="0" customWidth="1"/>
    <col min="9726" max="9726" width="21.375" style="0" customWidth="1"/>
    <col min="9727" max="9727" width="9.00390625" style="0" hidden="1" customWidth="1"/>
    <col min="9728" max="9728" width="7.375" style="0" customWidth="1"/>
    <col min="9729" max="9729" width="10.625" style="0" customWidth="1"/>
    <col min="9730" max="9731" width="9.00390625" style="0" hidden="1" customWidth="1"/>
    <col min="9732" max="9732" width="7.125" style="0" customWidth="1"/>
    <col min="9733" max="9733" width="10.875" style="0" customWidth="1"/>
    <col min="9734" max="9735" width="9.00390625" style="0" hidden="1" customWidth="1"/>
    <col min="9736" max="9736" width="7.00390625" style="0" customWidth="1"/>
    <col min="9737" max="9737" width="10.125" style="0" customWidth="1"/>
    <col min="9738" max="9739" width="9.00390625" style="0" hidden="1" customWidth="1"/>
    <col min="9740" max="9740" width="6.00390625" style="0" customWidth="1"/>
    <col min="9741" max="9741" width="9.75390625" style="0" customWidth="1"/>
    <col min="9742" max="9746" width="9.00390625" style="0" hidden="1" customWidth="1"/>
    <col min="9749" max="9749" width="12.25390625" style="0" bestFit="1" customWidth="1"/>
    <col min="9981" max="9981" width="5.25390625" style="0" customWidth="1"/>
    <col min="9982" max="9982" width="21.375" style="0" customWidth="1"/>
    <col min="9983" max="9983" width="9.00390625" style="0" hidden="1" customWidth="1"/>
    <col min="9984" max="9984" width="7.375" style="0" customWidth="1"/>
    <col min="9985" max="9985" width="10.625" style="0" customWidth="1"/>
    <col min="9986" max="9987" width="9.00390625" style="0" hidden="1" customWidth="1"/>
    <col min="9988" max="9988" width="7.125" style="0" customWidth="1"/>
    <col min="9989" max="9989" width="10.875" style="0" customWidth="1"/>
    <col min="9990" max="9991" width="9.00390625" style="0" hidden="1" customWidth="1"/>
    <col min="9992" max="9992" width="7.00390625" style="0" customWidth="1"/>
    <col min="9993" max="9993" width="10.125" style="0" customWidth="1"/>
    <col min="9994" max="9995" width="9.00390625" style="0" hidden="1" customWidth="1"/>
    <col min="9996" max="9996" width="6.00390625" style="0" customWidth="1"/>
    <col min="9997" max="9997" width="9.75390625" style="0" customWidth="1"/>
    <col min="9998" max="10002" width="9.00390625" style="0" hidden="1" customWidth="1"/>
    <col min="10005" max="10005" width="12.25390625" style="0" bestFit="1" customWidth="1"/>
    <col min="10237" max="10237" width="5.25390625" style="0" customWidth="1"/>
    <col min="10238" max="10238" width="21.375" style="0" customWidth="1"/>
    <col min="10239" max="10239" width="9.00390625" style="0" hidden="1" customWidth="1"/>
    <col min="10240" max="10240" width="7.375" style="0" customWidth="1"/>
    <col min="10241" max="10241" width="10.625" style="0" customWidth="1"/>
    <col min="10242" max="10243" width="9.00390625" style="0" hidden="1" customWidth="1"/>
    <col min="10244" max="10244" width="7.125" style="0" customWidth="1"/>
    <col min="10245" max="10245" width="10.875" style="0" customWidth="1"/>
    <col min="10246" max="10247" width="9.00390625" style="0" hidden="1" customWidth="1"/>
    <col min="10248" max="10248" width="7.00390625" style="0" customWidth="1"/>
    <col min="10249" max="10249" width="10.125" style="0" customWidth="1"/>
    <col min="10250" max="10251" width="9.00390625" style="0" hidden="1" customWidth="1"/>
    <col min="10252" max="10252" width="6.00390625" style="0" customWidth="1"/>
    <col min="10253" max="10253" width="9.75390625" style="0" customWidth="1"/>
    <col min="10254" max="10258" width="9.00390625" style="0" hidden="1" customWidth="1"/>
    <col min="10261" max="10261" width="12.25390625" style="0" bestFit="1" customWidth="1"/>
    <col min="10493" max="10493" width="5.25390625" style="0" customWidth="1"/>
    <col min="10494" max="10494" width="21.375" style="0" customWidth="1"/>
    <col min="10495" max="10495" width="9.00390625" style="0" hidden="1" customWidth="1"/>
    <col min="10496" max="10496" width="7.375" style="0" customWidth="1"/>
    <col min="10497" max="10497" width="10.625" style="0" customWidth="1"/>
    <col min="10498" max="10499" width="9.00390625" style="0" hidden="1" customWidth="1"/>
    <col min="10500" max="10500" width="7.125" style="0" customWidth="1"/>
    <col min="10501" max="10501" width="10.875" style="0" customWidth="1"/>
    <col min="10502" max="10503" width="9.00390625" style="0" hidden="1" customWidth="1"/>
    <col min="10504" max="10504" width="7.00390625" style="0" customWidth="1"/>
    <col min="10505" max="10505" width="10.125" style="0" customWidth="1"/>
    <col min="10506" max="10507" width="9.00390625" style="0" hidden="1" customWidth="1"/>
    <col min="10508" max="10508" width="6.00390625" style="0" customWidth="1"/>
    <col min="10509" max="10509" width="9.75390625" style="0" customWidth="1"/>
    <col min="10510" max="10514" width="9.00390625" style="0" hidden="1" customWidth="1"/>
    <col min="10517" max="10517" width="12.25390625" style="0" bestFit="1" customWidth="1"/>
    <col min="10749" max="10749" width="5.25390625" style="0" customWidth="1"/>
    <col min="10750" max="10750" width="21.375" style="0" customWidth="1"/>
    <col min="10751" max="10751" width="9.00390625" style="0" hidden="1" customWidth="1"/>
    <col min="10752" max="10752" width="7.375" style="0" customWidth="1"/>
    <col min="10753" max="10753" width="10.625" style="0" customWidth="1"/>
    <col min="10754" max="10755" width="9.00390625" style="0" hidden="1" customWidth="1"/>
    <col min="10756" max="10756" width="7.125" style="0" customWidth="1"/>
    <col min="10757" max="10757" width="10.875" style="0" customWidth="1"/>
    <col min="10758" max="10759" width="9.00390625" style="0" hidden="1" customWidth="1"/>
    <col min="10760" max="10760" width="7.00390625" style="0" customWidth="1"/>
    <col min="10761" max="10761" width="10.125" style="0" customWidth="1"/>
    <col min="10762" max="10763" width="9.00390625" style="0" hidden="1" customWidth="1"/>
    <col min="10764" max="10764" width="6.00390625" style="0" customWidth="1"/>
    <col min="10765" max="10765" width="9.75390625" style="0" customWidth="1"/>
    <col min="10766" max="10770" width="9.00390625" style="0" hidden="1" customWidth="1"/>
    <col min="10773" max="10773" width="12.25390625" style="0" bestFit="1" customWidth="1"/>
    <col min="11005" max="11005" width="5.25390625" style="0" customWidth="1"/>
    <col min="11006" max="11006" width="21.375" style="0" customWidth="1"/>
    <col min="11007" max="11007" width="9.00390625" style="0" hidden="1" customWidth="1"/>
    <col min="11008" max="11008" width="7.375" style="0" customWidth="1"/>
    <col min="11009" max="11009" width="10.625" style="0" customWidth="1"/>
    <col min="11010" max="11011" width="9.00390625" style="0" hidden="1" customWidth="1"/>
    <col min="11012" max="11012" width="7.125" style="0" customWidth="1"/>
    <col min="11013" max="11013" width="10.875" style="0" customWidth="1"/>
    <col min="11014" max="11015" width="9.00390625" style="0" hidden="1" customWidth="1"/>
    <col min="11016" max="11016" width="7.00390625" style="0" customWidth="1"/>
    <col min="11017" max="11017" width="10.125" style="0" customWidth="1"/>
    <col min="11018" max="11019" width="9.00390625" style="0" hidden="1" customWidth="1"/>
    <col min="11020" max="11020" width="6.00390625" style="0" customWidth="1"/>
    <col min="11021" max="11021" width="9.75390625" style="0" customWidth="1"/>
    <col min="11022" max="11026" width="9.00390625" style="0" hidden="1" customWidth="1"/>
    <col min="11029" max="11029" width="12.25390625" style="0" bestFit="1" customWidth="1"/>
    <col min="11261" max="11261" width="5.25390625" style="0" customWidth="1"/>
    <col min="11262" max="11262" width="21.375" style="0" customWidth="1"/>
    <col min="11263" max="11263" width="9.00390625" style="0" hidden="1" customWidth="1"/>
    <col min="11264" max="11264" width="7.375" style="0" customWidth="1"/>
    <col min="11265" max="11265" width="10.625" style="0" customWidth="1"/>
    <col min="11266" max="11267" width="9.00390625" style="0" hidden="1" customWidth="1"/>
    <col min="11268" max="11268" width="7.125" style="0" customWidth="1"/>
    <col min="11269" max="11269" width="10.875" style="0" customWidth="1"/>
    <col min="11270" max="11271" width="9.00390625" style="0" hidden="1" customWidth="1"/>
    <col min="11272" max="11272" width="7.00390625" style="0" customWidth="1"/>
    <col min="11273" max="11273" width="10.125" style="0" customWidth="1"/>
    <col min="11274" max="11275" width="9.00390625" style="0" hidden="1" customWidth="1"/>
    <col min="11276" max="11276" width="6.00390625" style="0" customWidth="1"/>
    <col min="11277" max="11277" width="9.75390625" style="0" customWidth="1"/>
    <col min="11278" max="11282" width="9.00390625" style="0" hidden="1" customWidth="1"/>
    <col min="11285" max="11285" width="12.25390625" style="0" bestFit="1" customWidth="1"/>
    <col min="11517" max="11517" width="5.25390625" style="0" customWidth="1"/>
    <col min="11518" max="11518" width="21.375" style="0" customWidth="1"/>
    <col min="11519" max="11519" width="9.00390625" style="0" hidden="1" customWidth="1"/>
    <col min="11520" max="11520" width="7.375" style="0" customWidth="1"/>
    <col min="11521" max="11521" width="10.625" style="0" customWidth="1"/>
    <col min="11522" max="11523" width="9.00390625" style="0" hidden="1" customWidth="1"/>
    <col min="11524" max="11524" width="7.125" style="0" customWidth="1"/>
    <col min="11525" max="11525" width="10.875" style="0" customWidth="1"/>
    <col min="11526" max="11527" width="9.00390625" style="0" hidden="1" customWidth="1"/>
    <col min="11528" max="11528" width="7.00390625" style="0" customWidth="1"/>
    <col min="11529" max="11529" width="10.125" style="0" customWidth="1"/>
    <col min="11530" max="11531" width="9.00390625" style="0" hidden="1" customWidth="1"/>
    <col min="11532" max="11532" width="6.00390625" style="0" customWidth="1"/>
    <col min="11533" max="11533" width="9.75390625" style="0" customWidth="1"/>
    <col min="11534" max="11538" width="9.00390625" style="0" hidden="1" customWidth="1"/>
    <col min="11541" max="11541" width="12.25390625" style="0" bestFit="1" customWidth="1"/>
    <col min="11773" max="11773" width="5.25390625" style="0" customWidth="1"/>
    <col min="11774" max="11774" width="21.375" style="0" customWidth="1"/>
    <col min="11775" max="11775" width="9.00390625" style="0" hidden="1" customWidth="1"/>
    <col min="11776" max="11776" width="7.375" style="0" customWidth="1"/>
    <col min="11777" max="11777" width="10.625" style="0" customWidth="1"/>
    <col min="11778" max="11779" width="9.00390625" style="0" hidden="1" customWidth="1"/>
    <col min="11780" max="11780" width="7.125" style="0" customWidth="1"/>
    <col min="11781" max="11781" width="10.875" style="0" customWidth="1"/>
    <col min="11782" max="11783" width="9.00390625" style="0" hidden="1" customWidth="1"/>
    <col min="11784" max="11784" width="7.00390625" style="0" customWidth="1"/>
    <col min="11785" max="11785" width="10.125" style="0" customWidth="1"/>
    <col min="11786" max="11787" width="9.00390625" style="0" hidden="1" customWidth="1"/>
    <col min="11788" max="11788" width="6.00390625" style="0" customWidth="1"/>
    <col min="11789" max="11789" width="9.75390625" style="0" customWidth="1"/>
    <col min="11790" max="11794" width="9.00390625" style="0" hidden="1" customWidth="1"/>
    <col min="11797" max="11797" width="12.25390625" style="0" bestFit="1" customWidth="1"/>
    <col min="12029" max="12029" width="5.25390625" style="0" customWidth="1"/>
    <col min="12030" max="12030" width="21.375" style="0" customWidth="1"/>
    <col min="12031" max="12031" width="9.00390625" style="0" hidden="1" customWidth="1"/>
    <col min="12032" max="12032" width="7.375" style="0" customWidth="1"/>
    <col min="12033" max="12033" width="10.625" style="0" customWidth="1"/>
    <col min="12034" max="12035" width="9.00390625" style="0" hidden="1" customWidth="1"/>
    <col min="12036" max="12036" width="7.125" style="0" customWidth="1"/>
    <col min="12037" max="12037" width="10.875" style="0" customWidth="1"/>
    <col min="12038" max="12039" width="9.00390625" style="0" hidden="1" customWidth="1"/>
    <col min="12040" max="12040" width="7.00390625" style="0" customWidth="1"/>
    <col min="12041" max="12041" width="10.125" style="0" customWidth="1"/>
    <col min="12042" max="12043" width="9.00390625" style="0" hidden="1" customWidth="1"/>
    <col min="12044" max="12044" width="6.00390625" style="0" customWidth="1"/>
    <col min="12045" max="12045" width="9.75390625" style="0" customWidth="1"/>
    <col min="12046" max="12050" width="9.00390625" style="0" hidden="1" customWidth="1"/>
    <col min="12053" max="12053" width="12.25390625" style="0" bestFit="1" customWidth="1"/>
    <col min="12285" max="12285" width="5.25390625" style="0" customWidth="1"/>
    <col min="12286" max="12286" width="21.375" style="0" customWidth="1"/>
    <col min="12287" max="12287" width="9.00390625" style="0" hidden="1" customWidth="1"/>
    <col min="12288" max="12288" width="7.375" style="0" customWidth="1"/>
    <col min="12289" max="12289" width="10.625" style="0" customWidth="1"/>
    <col min="12290" max="12291" width="9.00390625" style="0" hidden="1" customWidth="1"/>
    <col min="12292" max="12292" width="7.125" style="0" customWidth="1"/>
    <col min="12293" max="12293" width="10.875" style="0" customWidth="1"/>
    <col min="12294" max="12295" width="9.00390625" style="0" hidden="1" customWidth="1"/>
    <col min="12296" max="12296" width="7.00390625" style="0" customWidth="1"/>
    <col min="12297" max="12297" width="10.125" style="0" customWidth="1"/>
    <col min="12298" max="12299" width="9.00390625" style="0" hidden="1" customWidth="1"/>
    <col min="12300" max="12300" width="6.00390625" style="0" customWidth="1"/>
    <col min="12301" max="12301" width="9.75390625" style="0" customWidth="1"/>
    <col min="12302" max="12306" width="9.00390625" style="0" hidden="1" customWidth="1"/>
    <col min="12309" max="12309" width="12.25390625" style="0" bestFit="1" customWidth="1"/>
    <col min="12541" max="12541" width="5.25390625" style="0" customWidth="1"/>
    <col min="12542" max="12542" width="21.375" style="0" customWidth="1"/>
    <col min="12543" max="12543" width="9.00390625" style="0" hidden="1" customWidth="1"/>
    <col min="12544" max="12544" width="7.375" style="0" customWidth="1"/>
    <col min="12545" max="12545" width="10.625" style="0" customWidth="1"/>
    <col min="12546" max="12547" width="9.00390625" style="0" hidden="1" customWidth="1"/>
    <col min="12548" max="12548" width="7.125" style="0" customWidth="1"/>
    <col min="12549" max="12549" width="10.875" style="0" customWidth="1"/>
    <col min="12550" max="12551" width="9.00390625" style="0" hidden="1" customWidth="1"/>
    <col min="12552" max="12552" width="7.00390625" style="0" customWidth="1"/>
    <col min="12553" max="12553" width="10.125" style="0" customWidth="1"/>
    <col min="12554" max="12555" width="9.00390625" style="0" hidden="1" customWidth="1"/>
    <col min="12556" max="12556" width="6.00390625" style="0" customWidth="1"/>
    <col min="12557" max="12557" width="9.75390625" style="0" customWidth="1"/>
    <col min="12558" max="12562" width="9.00390625" style="0" hidden="1" customWidth="1"/>
    <col min="12565" max="12565" width="12.25390625" style="0" bestFit="1" customWidth="1"/>
    <col min="12797" max="12797" width="5.25390625" style="0" customWidth="1"/>
    <col min="12798" max="12798" width="21.375" style="0" customWidth="1"/>
    <col min="12799" max="12799" width="9.00390625" style="0" hidden="1" customWidth="1"/>
    <col min="12800" max="12800" width="7.375" style="0" customWidth="1"/>
    <col min="12801" max="12801" width="10.625" style="0" customWidth="1"/>
    <col min="12802" max="12803" width="9.00390625" style="0" hidden="1" customWidth="1"/>
    <col min="12804" max="12804" width="7.125" style="0" customWidth="1"/>
    <col min="12805" max="12805" width="10.875" style="0" customWidth="1"/>
    <col min="12806" max="12807" width="9.00390625" style="0" hidden="1" customWidth="1"/>
    <col min="12808" max="12808" width="7.00390625" style="0" customWidth="1"/>
    <col min="12809" max="12809" width="10.125" style="0" customWidth="1"/>
    <col min="12810" max="12811" width="9.00390625" style="0" hidden="1" customWidth="1"/>
    <col min="12812" max="12812" width="6.00390625" style="0" customWidth="1"/>
    <col min="12813" max="12813" width="9.75390625" style="0" customWidth="1"/>
    <col min="12814" max="12818" width="9.00390625" style="0" hidden="1" customWidth="1"/>
    <col min="12821" max="12821" width="12.25390625" style="0" bestFit="1" customWidth="1"/>
    <col min="13053" max="13053" width="5.25390625" style="0" customWidth="1"/>
    <col min="13054" max="13054" width="21.375" style="0" customWidth="1"/>
    <col min="13055" max="13055" width="9.00390625" style="0" hidden="1" customWidth="1"/>
    <col min="13056" max="13056" width="7.375" style="0" customWidth="1"/>
    <col min="13057" max="13057" width="10.625" style="0" customWidth="1"/>
    <col min="13058" max="13059" width="9.00390625" style="0" hidden="1" customWidth="1"/>
    <col min="13060" max="13060" width="7.125" style="0" customWidth="1"/>
    <col min="13061" max="13061" width="10.875" style="0" customWidth="1"/>
    <col min="13062" max="13063" width="9.00390625" style="0" hidden="1" customWidth="1"/>
    <col min="13064" max="13064" width="7.00390625" style="0" customWidth="1"/>
    <col min="13065" max="13065" width="10.125" style="0" customWidth="1"/>
    <col min="13066" max="13067" width="9.00390625" style="0" hidden="1" customWidth="1"/>
    <col min="13068" max="13068" width="6.00390625" style="0" customWidth="1"/>
    <col min="13069" max="13069" width="9.75390625" style="0" customWidth="1"/>
    <col min="13070" max="13074" width="9.00390625" style="0" hidden="1" customWidth="1"/>
    <col min="13077" max="13077" width="12.25390625" style="0" bestFit="1" customWidth="1"/>
    <col min="13309" max="13309" width="5.25390625" style="0" customWidth="1"/>
    <col min="13310" max="13310" width="21.375" style="0" customWidth="1"/>
    <col min="13311" max="13311" width="9.00390625" style="0" hidden="1" customWidth="1"/>
    <col min="13312" max="13312" width="7.375" style="0" customWidth="1"/>
    <col min="13313" max="13313" width="10.625" style="0" customWidth="1"/>
    <col min="13314" max="13315" width="9.00390625" style="0" hidden="1" customWidth="1"/>
    <col min="13316" max="13316" width="7.125" style="0" customWidth="1"/>
    <col min="13317" max="13317" width="10.875" style="0" customWidth="1"/>
    <col min="13318" max="13319" width="9.00390625" style="0" hidden="1" customWidth="1"/>
    <col min="13320" max="13320" width="7.00390625" style="0" customWidth="1"/>
    <col min="13321" max="13321" width="10.125" style="0" customWidth="1"/>
    <col min="13322" max="13323" width="9.00390625" style="0" hidden="1" customWidth="1"/>
    <col min="13324" max="13324" width="6.00390625" style="0" customWidth="1"/>
    <col min="13325" max="13325" width="9.75390625" style="0" customWidth="1"/>
    <col min="13326" max="13330" width="9.00390625" style="0" hidden="1" customWidth="1"/>
    <col min="13333" max="13333" width="12.25390625" style="0" bestFit="1" customWidth="1"/>
    <col min="13565" max="13565" width="5.25390625" style="0" customWidth="1"/>
    <col min="13566" max="13566" width="21.375" style="0" customWidth="1"/>
    <col min="13567" max="13567" width="9.00390625" style="0" hidden="1" customWidth="1"/>
    <col min="13568" max="13568" width="7.375" style="0" customWidth="1"/>
    <col min="13569" max="13569" width="10.625" style="0" customWidth="1"/>
    <col min="13570" max="13571" width="9.00390625" style="0" hidden="1" customWidth="1"/>
    <col min="13572" max="13572" width="7.125" style="0" customWidth="1"/>
    <col min="13573" max="13573" width="10.875" style="0" customWidth="1"/>
    <col min="13574" max="13575" width="9.00390625" style="0" hidden="1" customWidth="1"/>
    <col min="13576" max="13576" width="7.00390625" style="0" customWidth="1"/>
    <col min="13577" max="13577" width="10.125" style="0" customWidth="1"/>
    <col min="13578" max="13579" width="9.00390625" style="0" hidden="1" customWidth="1"/>
    <col min="13580" max="13580" width="6.00390625" style="0" customWidth="1"/>
    <col min="13581" max="13581" width="9.75390625" style="0" customWidth="1"/>
    <col min="13582" max="13586" width="9.00390625" style="0" hidden="1" customWidth="1"/>
    <col min="13589" max="13589" width="12.25390625" style="0" bestFit="1" customWidth="1"/>
    <col min="13821" max="13821" width="5.25390625" style="0" customWidth="1"/>
    <col min="13822" max="13822" width="21.375" style="0" customWidth="1"/>
    <col min="13823" max="13823" width="9.00390625" style="0" hidden="1" customWidth="1"/>
    <col min="13824" max="13824" width="7.375" style="0" customWidth="1"/>
    <col min="13825" max="13825" width="10.625" style="0" customWidth="1"/>
    <col min="13826" max="13827" width="9.00390625" style="0" hidden="1" customWidth="1"/>
    <col min="13828" max="13828" width="7.125" style="0" customWidth="1"/>
    <col min="13829" max="13829" width="10.875" style="0" customWidth="1"/>
    <col min="13830" max="13831" width="9.00390625" style="0" hidden="1" customWidth="1"/>
    <col min="13832" max="13832" width="7.00390625" style="0" customWidth="1"/>
    <col min="13833" max="13833" width="10.125" style="0" customWidth="1"/>
    <col min="13834" max="13835" width="9.00390625" style="0" hidden="1" customWidth="1"/>
    <col min="13836" max="13836" width="6.00390625" style="0" customWidth="1"/>
    <col min="13837" max="13837" width="9.75390625" style="0" customWidth="1"/>
    <col min="13838" max="13842" width="9.00390625" style="0" hidden="1" customWidth="1"/>
    <col min="13845" max="13845" width="12.25390625" style="0" bestFit="1" customWidth="1"/>
    <col min="14077" max="14077" width="5.25390625" style="0" customWidth="1"/>
    <col min="14078" max="14078" width="21.375" style="0" customWidth="1"/>
    <col min="14079" max="14079" width="9.00390625" style="0" hidden="1" customWidth="1"/>
    <col min="14080" max="14080" width="7.375" style="0" customWidth="1"/>
    <col min="14081" max="14081" width="10.625" style="0" customWidth="1"/>
    <col min="14082" max="14083" width="9.00390625" style="0" hidden="1" customWidth="1"/>
    <col min="14084" max="14084" width="7.125" style="0" customWidth="1"/>
    <col min="14085" max="14085" width="10.875" style="0" customWidth="1"/>
    <col min="14086" max="14087" width="9.00390625" style="0" hidden="1" customWidth="1"/>
    <col min="14088" max="14088" width="7.00390625" style="0" customWidth="1"/>
    <col min="14089" max="14089" width="10.125" style="0" customWidth="1"/>
    <col min="14090" max="14091" width="9.00390625" style="0" hidden="1" customWidth="1"/>
    <col min="14092" max="14092" width="6.00390625" style="0" customWidth="1"/>
    <col min="14093" max="14093" width="9.75390625" style="0" customWidth="1"/>
    <col min="14094" max="14098" width="9.00390625" style="0" hidden="1" customWidth="1"/>
    <col min="14101" max="14101" width="12.25390625" style="0" bestFit="1" customWidth="1"/>
    <col min="14333" max="14333" width="5.25390625" style="0" customWidth="1"/>
    <col min="14334" max="14334" width="21.375" style="0" customWidth="1"/>
    <col min="14335" max="14335" width="9.00390625" style="0" hidden="1" customWidth="1"/>
    <col min="14336" max="14336" width="7.375" style="0" customWidth="1"/>
    <col min="14337" max="14337" width="10.625" style="0" customWidth="1"/>
    <col min="14338" max="14339" width="9.00390625" style="0" hidden="1" customWidth="1"/>
    <col min="14340" max="14340" width="7.125" style="0" customWidth="1"/>
    <col min="14341" max="14341" width="10.875" style="0" customWidth="1"/>
    <col min="14342" max="14343" width="9.00390625" style="0" hidden="1" customWidth="1"/>
    <col min="14344" max="14344" width="7.00390625" style="0" customWidth="1"/>
    <col min="14345" max="14345" width="10.125" style="0" customWidth="1"/>
    <col min="14346" max="14347" width="9.00390625" style="0" hidden="1" customWidth="1"/>
    <col min="14348" max="14348" width="6.00390625" style="0" customWidth="1"/>
    <col min="14349" max="14349" width="9.75390625" style="0" customWidth="1"/>
    <col min="14350" max="14354" width="9.00390625" style="0" hidden="1" customWidth="1"/>
    <col min="14357" max="14357" width="12.25390625" style="0" bestFit="1" customWidth="1"/>
    <col min="14589" max="14589" width="5.25390625" style="0" customWidth="1"/>
    <col min="14590" max="14590" width="21.375" style="0" customWidth="1"/>
    <col min="14591" max="14591" width="9.00390625" style="0" hidden="1" customWidth="1"/>
    <col min="14592" max="14592" width="7.375" style="0" customWidth="1"/>
    <col min="14593" max="14593" width="10.625" style="0" customWidth="1"/>
    <col min="14594" max="14595" width="9.00390625" style="0" hidden="1" customWidth="1"/>
    <col min="14596" max="14596" width="7.125" style="0" customWidth="1"/>
    <col min="14597" max="14597" width="10.875" style="0" customWidth="1"/>
    <col min="14598" max="14599" width="9.00390625" style="0" hidden="1" customWidth="1"/>
    <col min="14600" max="14600" width="7.00390625" style="0" customWidth="1"/>
    <col min="14601" max="14601" width="10.125" style="0" customWidth="1"/>
    <col min="14602" max="14603" width="9.00390625" style="0" hidden="1" customWidth="1"/>
    <col min="14604" max="14604" width="6.00390625" style="0" customWidth="1"/>
    <col min="14605" max="14605" width="9.75390625" style="0" customWidth="1"/>
    <col min="14606" max="14610" width="9.00390625" style="0" hidden="1" customWidth="1"/>
    <col min="14613" max="14613" width="12.25390625" style="0" bestFit="1" customWidth="1"/>
    <col min="14845" max="14845" width="5.25390625" style="0" customWidth="1"/>
    <col min="14846" max="14846" width="21.375" style="0" customWidth="1"/>
    <col min="14847" max="14847" width="9.00390625" style="0" hidden="1" customWidth="1"/>
    <col min="14848" max="14848" width="7.375" style="0" customWidth="1"/>
    <col min="14849" max="14849" width="10.625" style="0" customWidth="1"/>
    <col min="14850" max="14851" width="9.00390625" style="0" hidden="1" customWidth="1"/>
    <col min="14852" max="14852" width="7.125" style="0" customWidth="1"/>
    <col min="14853" max="14853" width="10.875" style="0" customWidth="1"/>
    <col min="14854" max="14855" width="9.00390625" style="0" hidden="1" customWidth="1"/>
    <col min="14856" max="14856" width="7.00390625" style="0" customWidth="1"/>
    <col min="14857" max="14857" width="10.125" style="0" customWidth="1"/>
    <col min="14858" max="14859" width="9.00390625" style="0" hidden="1" customWidth="1"/>
    <col min="14860" max="14860" width="6.00390625" style="0" customWidth="1"/>
    <col min="14861" max="14861" width="9.75390625" style="0" customWidth="1"/>
    <col min="14862" max="14866" width="9.00390625" style="0" hidden="1" customWidth="1"/>
    <col min="14869" max="14869" width="12.25390625" style="0" bestFit="1" customWidth="1"/>
    <col min="15101" max="15101" width="5.25390625" style="0" customWidth="1"/>
    <col min="15102" max="15102" width="21.375" style="0" customWidth="1"/>
    <col min="15103" max="15103" width="9.00390625" style="0" hidden="1" customWidth="1"/>
    <col min="15104" max="15104" width="7.375" style="0" customWidth="1"/>
    <col min="15105" max="15105" width="10.625" style="0" customWidth="1"/>
    <col min="15106" max="15107" width="9.00390625" style="0" hidden="1" customWidth="1"/>
    <col min="15108" max="15108" width="7.125" style="0" customWidth="1"/>
    <col min="15109" max="15109" width="10.875" style="0" customWidth="1"/>
    <col min="15110" max="15111" width="9.00390625" style="0" hidden="1" customWidth="1"/>
    <col min="15112" max="15112" width="7.00390625" style="0" customWidth="1"/>
    <col min="15113" max="15113" width="10.125" style="0" customWidth="1"/>
    <col min="15114" max="15115" width="9.00390625" style="0" hidden="1" customWidth="1"/>
    <col min="15116" max="15116" width="6.00390625" style="0" customWidth="1"/>
    <col min="15117" max="15117" width="9.75390625" style="0" customWidth="1"/>
    <col min="15118" max="15122" width="9.00390625" style="0" hidden="1" customWidth="1"/>
    <col min="15125" max="15125" width="12.25390625" style="0" bestFit="1" customWidth="1"/>
    <col min="15357" max="15357" width="5.25390625" style="0" customWidth="1"/>
    <col min="15358" max="15358" width="21.375" style="0" customWidth="1"/>
    <col min="15359" max="15359" width="9.00390625" style="0" hidden="1" customWidth="1"/>
    <col min="15360" max="15360" width="7.375" style="0" customWidth="1"/>
    <col min="15361" max="15361" width="10.625" style="0" customWidth="1"/>
    <col min="15362" max="15363" width="9.00390625" style="0" hidden="1" customWidth="1"/>
    <col min="15364" max="15364" width="7.125" style="0" customWidth="1"/>
    <col min="15365" max="15365" width="10.875" style="0" customWidth="1"/>
    <col min="15366" max="15367" width="9.00390625" style="0" hidden="1" customWidth="1"/>
    <col min="15368" max="15368" width="7.00390625" style="0" customWidth="1"/>
    <col min="15369" max="15369" width="10.125" style="0" customWidth="1"/>
    <col min="15370" max="15371" width="9.00390625" style="0" hidden="1" customWidth="1"/>
    <col min="15372" max="15372" width="6.00390625" style="0" customWidth="1"/>
    <col min="15373" max="15373" width="9.75390625" style="0" customWidth="1"/>
    <col min="15374" max="15378" width="9.00390625" style="0" hidden="1" customWidth="1"/>
    <col min="15381" max="15381" width="12.25390625" style="0" bestFit="1" customWidth="1"/>
    <col min="15613" max="15613" width="5.25390625" style="0" customWidth="1"/>
    <col min="15614" max="15614" width="21.375" style="0" customWidth="1"/>
    <col min="15615" max="15615" width="9.00390625" style="0" hidden="1" customWidth="1"/>
    <col min="15616" max="15616" width="7.375" style="0" customWidth="1"/>
    <col min="15617" max="15617" width="10.625" style="0" customWidth="1"/>
    <col min="15618" max="15619" width="9.00390625" style="0" hidden="1" customWidth="1"/>
    <col min="15620" max="15620" width="7.125" style="0" customWidth="1"/>
    <col min="15621" max="15621" width="10.875" style="0" customWidth="1"/>
    <col min="15622" max="15623" width="9.00390625" style="0" hidden="1" customWidth="1"/>
    <col min="15624" max="15624" width="7.00390625" style="0" customWidth="1"/>
    <col min="15625" max="15625" width="10.125" style="0" customWidth="1"/>
    <col min="15626" max="15627" width="9.00390625" style="0" hidden="1" customWidth="1"/>
    <col min="15628" max="15628" width="6.00390625" style="0" customWidth="1"/>
    <col min="15629" max="15629" width="9.75390625" style="0" customWidth="1"/>
    <col min="15630" max="15634" width="9.00390625" style="0" hidden="1" customWidth="1"/>
    <col min="15637" max="15637" width="12.25390625" style="0" bestFit="1" customWidth="1"/>
    <col min="15869" max="15869" width="5.25390625" style="0" customWidth="1"/>
    <col min="15870" max="15870" width="21.375" style="0" customWidth="1"/>
    <col min="15871" max="15871" width="9.00390625" style="0" hidden="1" customWidth="1"/>
    <col min="15872" max="15872" width="7.375" style="0" customWidth="1"/>
    <col min="15873" max="15873" width="10.625" style="0" customWidth="1"/>
    <col min="15874" max="15875" width="9.00390625" style="0" hidden="1" customWidth="1"/>
    <col min="15876" max="15876" width="7.125" style="0" customWidth="1"/>
    <col min="15877" max="15877" width="10.875" style="0" customWidth="1"/>
    <col min="15878" max="15879" width="9.00390625" style="0" hidden="1" customWidth="1"/>
    <col min="15880" max="15880" width="7.00390625" style="0" customWidth="1"/>
    <col min="15881" max="15881" width="10.125" style="0" customWidth="1"/>
    <col min="15882" max="15883" width="9.00390625" style="0" hidden="1" customWidth="1"/>
    <col min="15884" max="15884" width="6.00390625" style="0" customWidth="1"/>
    <col min="15885" max="15885" width="9.75390625" style="0" customWidth="1"/>
    <col min="15886" max="15890" width="9.00390625" style="0" hidden="1" customWidth="1"/>
    <col min="15893" max="15893" width="12.25390625" style="0" bestFit="1" customWidth="1"/>
    <col min="16125" max="16125" width="5.25390625" style="0" customWidth="1"/>
    <col min="16126" max="16126" width="21.375" style="0" customWidth="1"/>
    <col min="16127" max="16127" width="9.00390625" style="0" hidden="1" customWidth="1"/>
    <col min="16128" max="16128" width="7.375" style="0" customWidth="1"/>
    <col min="16129" max="16129" width="10.625" style="0" customWidth="1"/>
    <col min="16130" max="16131" width="9.00390625" style="0" hidden="1" customWidth="1"/>
    <col min="16132" max="16132" width="7.125" style="0" customWidth="1"/>
    <col min="16133" max="16133" width="10.875" style="0" customWidth="1"/>
    <col min="16134" max="16135" width="9.00390625" style="0" hidden="1" customWidth="1"/>
    <col min="16136" max="16136" width="7.00390625" style="0" customWidth="1"/>
    <col min="16137" max="16137" width="10.125" style="0" customWidth="1"/>
    <col min="16138" max="16139" width="9.00390625" style="0" hidden="1" customWidth="1"/>
    <col min="16140" max="16140" width="6.00390625" style="0" customWidth="1"/>
    <col min="16141" max="16141" width="9.75390625" style="0" customWidth="1"/>
    <col min="16142" max="16146" width="9.00390625" style="0" hidden="1" customWidth="1"/>
    <col min="16149" max="16149" width="12.25390625" style="0" bestFit="1" customWidth="1"/>
  </cols>
  <sheetData>
    <row r="1" spans="1:17" ht="15.75" customHeight="1">
      <c r="A1" s="109"/>
      <c r="B1" s="29"/>
      <c r="C1" s="178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213"/>
      <c r="P1" s="213"/>
      <c r="Q1" s="213" t="s">
        <v>0</v>
      </c>
    </row>
    <row r="2" spans="1:17" ht="15.75" customHeight="1">
      <c r="A2" s="109"/>
      <c r="B2" s="695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213"/>
      <c r="P2" s="213"/>
      <c r="Q2" s="213" t="s">
        <v>1</v>
      </c>
    </row>
    <row r="3" spans="1:17" ht="15.75">
      <c r="A3" s="109"/>
      <c r="B3" s="2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213"/>
      <c r="P3" s="213"/>
      <c r="Q3" s="213" t="s">
        <v>2</v>
      </c>
    </row>
    <row r="4" spans="1:17" ht="15.75">
      <c r="A4" s="109"/>
      <c r="B4" s="2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213"/>
      <c r="P4" s="213"/>
      <c r="Q4" s="213" t="s">
        <v>3</v>
      </c>
    </row>
    <row r="5" spans="1:17" ht="8.25" customHeight="1">
      <c r="A5" s="109"/>
      <c r="B5" s="29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57"/>
      <c r="P5" s="57"/>
      <c r="Q5" s="57"/>
    </row>
    <row r="6" spans="1:17" ht="15.75">
      <c r="A6" s="2155" t="s">
        <v>43</v>
      </c>
      <c r="B6" s="2155"/>
      <c r="C6" s="2155"/>
      <c r="D6" s="2155"/>
      <c r="E6" s="2155"/>
      <c r="F6" s="2155"/>
      <c r="G6" s="2155"/>
      <c r="H6" s="2155"/>
      <c r="I6" s="2155"/>
      <c r="J6" s="2155"/>
      <c r="K6" s="2155"/>
      <c r="L6" s="2155"/>
      <c r="M6" s="2155"/>
      <c r="N6" s="2155"/>
      <c r="O6" s="2155"/>
      <c r="P6" s="2155"/>
      <c r="Q6" s="109"/>
    </row>
    <row r="7" spans="1:17" ht="18.75" customHeight="1">
      <c r="A7" s="2156" t="s">
        <v>149</v>
      </c>
      <c r="B7" s="2156"/>
      <c r="C7" s="2156"/>
      <c r="D7" s="2156"/>
      <c r="E7" s="2156"/>
      <c r="F7" s="2156"/>
      <c r="G7" s="2156"/>
      <c r="H7" s="2156"/>
      <c r="I7" s="2156"/>
      <c r="J7" s="2156"/>
      <c r="K7" s="2156"/>
      <c r="L7" s="2156"/>
      <c r="M7" s="2156"/>
      <c r="N7" s="2156"/>
      <c r="O7" s="2156"/>
      <c r="P7" s="2156"/>
      <c r="Q7" s="181"/>
    </row>
    <row r="8" spans="1:17" ht="18.75" customHeight="1" thickBot="1">
      <c r="A8" s="2156" t="s">
        <v>616</v>
      </c>
      <c r="B8" s="2156"/>
      <c r="C8" s="2156"/>
      <c r="D8" s="2156"/>
      <c r="E8" s="2156"/>
      <c r="F8" s="2156"/>
      <c r="G8" s="2156"/>
      <c r="H8" s="2156"/>
      <c r="I8" s="2156"/>
      <c r="J8" s="2156"/>
      <c r="K8" s="2156"/>
      <c r="L8" s="2156"/>
      <c r="M8" s="2156"/>
      <c r="N8" s="2156"/>
      <c r="O8" s="2156"/>
      <c r="P8" s="2156"/>
      <c r="Q8" s="181"/>
    </row>
    <row r="9" spans="1:18" ht="30" customHeight="1" thickBot="1">
      <c r="A9" s="182" t="s">
        <v>128</v>
      </c>
      <c r="B9" s="2157" t="s">
        <v>6</v>
      </c>
      <c r="C9" s="2151" t="s">
        <v>150</v>
      </c>
      <c r="D9" s="2151"/>
      <c r="E9" s="2152"/>
      <c r="F9" s="2159" t="s">
        <v>132</v>
      </c>
      <c r="G9" s="2150" t="s">
        <v>151</v>
      </c>
      <c r="H9" s="2151"/>
      <c r="I9" s="2152"/>
      <c r="J9" s="2159" t="s">
        <v>132</v>
      </c>
      <c r="K9" s="2150" t="s">
        <v>152</v>
      </c>
      <c r="L9" s="2151"/>
      <c r="M9" s="2152"/>
      <c r="N9" s="2157" t="s">
        <v>132</v>
      </c>
      <c r="O9" s="2150" t="s">
        <v>447</v>
      </c>
      <c r="P9" s="2151"/>
      <c r="Q9" s="2152"/>
      <c r="R9" s="2153" t="s">
        <v>132</v>
      </c>
    </row>
    <row r="10" spans="1:18" ht="17.25" customHeight="1" thickBot="1">
      <c r="A10" s="183" t="s">
        <v>135</v>
      </c>
      <c r="B10" s="2158"/>
      <c r="C10" s="512" t="s">
        <v>129</v>
      </c>
      <c r="D10" s="185" t="s">
        <v>130</v>
      </c>
      <c r="E10" s="845" t="s">
        <v>153</v>
      </c>
      <c r="F10" s="2160"/>
      <c r="G10" s="184" t="s">
        <v>129</v>
      </c>
      <c r="H10" s="185" t="s">
        <v>130</v>
      </c>
      <c r="I10" s="845" t="s">
        <v>154</v>
      </c>
      <c r="J10" s="2160"/>
      <c r="K10" s="184" t="s">
        <v>129</v>
      </c>
      <c r="L10" s="185" t="s">
        <v>130</v>
      </c>
      <c r="M10" s="187" t="s">
        <v>153</v>
      </c>
      <c r="N10" s="2158"/>
      <c r="O10" s="184" t="s">
        <v>129</v>
      </c>
      <c r="P10" s="185" t="s">
        <v>130</v>
      </c>
      <c r="Q10" s="957" t="s">
        <v>154</v>
      </c>
      <c r="R10" s="2154"/>
    </row>
    <row r="11" spans="1:18" ht="9" customHeight="1" thickBot="1">
      <c r="A11" s="548"/>
      <c r="B11" s="187"/>
      <c r="C11" s="513"/>
      <c r="D11" s="186"/>
      <c r="E11" s="549">
        <f>D11*1.9477</f>
        <v>0</v>
      </c>
      <c r="F11" s="532"/>
      <c r="G11" s="115"/>
      <c r="H11" s="186"/>
      <c r="I11" s="187"/>
      <c r="J11" s="188"/>
      <c r="K11" s="115"/>
      <c r="L11" s="186"/>
      <c r="M11" s="187"/>
      <c r="N11" s="187"/>
      <c r="O11" s="115"/>
      <c r="P11" s="186"/>
      <c r="Q11" s="189"/>
      <c r="R11" s="190"/>
    </row>
    <row r="12" spans="1:19" ht="12" customHeight="1">
      <c r="A12" s="510">
        <f>A11+1</f>
        <v>1</v>
      </c>
      <c r="B12" s="961" t="s">
        <v>303</v>
      </c>
      <c r="C12" s="962"/>
      <c r="D12" s="963"/>
      <c r="E12" s="964">
        <f aca="true" t="shared" si="0" ref="E12:E78">D12*1.7860608</f>
        <v>0</v>
      </c>
      <c r="F12" s="965"/>
      <c r="G12" s="966"/>
      <c r="H12" s="967">
        <f>G12*3</f>
        <v>0</v>
      </c>
      <c r="I12" s="960">
        <f aca="true" t="shared" si="1" ref="I12:I78">1.451088*H12</f>
        <v>0</v>
      </c>
      <c r="J12" s="965"/>
      <c r="K12" s="966">
        <v>3</v>
      </c>
      <c r="L12" s="959">
        <f aca="true" t="shared" si="2" ref="L12:L43">K12*2.5</f>
        <v>7.5</v>
      </c>
      <c r="M12" s="960">
        <f aca="true" t="shared" si="3" ref="M12:M78">L12*1.97915</f>
        <v>14.843625</v>
      </c>
      <c r="N12" s="968" t="s">
        <v>617</v>
      </c>
      <c r="O12" s="969"/>
      <c r="P12" s="963"/>
      <c r="Q12" s="970"/>
      <c r="R12" s="194"/>
      <c r="S12" s="20" t="s">
        <v>719</v>
      </c>
    </row>
    <row r="13" spans="1:19" ht="12.75">
      <c r="A13" s="510">
        <f>A12+1</f>
        <v>2</v>
      </c>
      <c r="B13" s="518" t="s">
        <v>312</v>
      </c>
      <c r="C13" s="514">
        <v>5</v>
      </c>
      <c r="D13" s="191">
        <v>20</v>
      </c>
      <c r="E13" s="192">
        <f t="shared" si="0"/>
        <v>35.721216</v>
      </c>
      <c r="F13" s="193"/>
      <c r="G13" s="628"/>
      <c r="H13" s="566">
        <f>G13*3</f>
        <v>0</v>
      </c>
      <c r="I13" s="627">
        <f t="shared" si="1"/>
        <v>0</v>
      </c>
      <c r="J13" s="193"/>
      <c r="K13" s="628">
        <v>3</v>
      </c>
      <c r="L13" s="623">
        <f t="shared" si="2"/>
        <v>7.5</v>
      </c>
      <c r="M13" s="627">
        <f t="shared" si="3"/>
        <v>14.843625</v>
      </c>
      <c r="N13" s="696" t="s">
        <v>336</v>
      </c>
      <c r="O13" s="823"/>
      <c r="P13" s="191"/>
      <c r="Q13" s="195"/>
      <c r="R13" s="194"/>
      <c r="S13" s="20"/>
    </row>
    <row r="14" spans="1:19" ht="12.75">
      <c r="A14" s="510">
        <f aca="true" t="shared" si="4" ref="A14:A31">A13+1</f>
        <v>3</v>
      </c>
      <c r="B14" s="518" t="s">
        <v>333</v>
      </c>
      <c r="C14" s="514"/>
      <c r="D14" s="191"/>
      <c r="E14" s="192">
        <f t="shared" si="0"/>
        <v>0</v>
      </c>
      <c r="F14" s="193"/>
      <c r="G14" s="628">
        <v>3</v>
      </c>
      <c r="H14" s="566">
        <v>7.5</v>
      </c>
      <c r="I14" s="627">
        <f t="shared" si="1"/>
        <v>10.88316</v>
      </c>
      <c r="J14" s="193" t="s">
        <v>345</v>
      </c>
      <c r="K14" s="628"/>
      <c r="L14" s="623">
        <f t="shared" si="2"/>
        <v>0</v>
      </c>
      <c r="M14" s="627">
        <f t="shared" si="3"/>
        <v>0</v>
      </c>
      <c r="N14" s="696"/>
      <c r="O14" s="823">
        <v>1</v>
      </c>
      <c r="P14" s="191">
        <v>0.7</v>
      </c>
      <c r="Q14" s="195">
        <f>4.23167*P14</f>
        <v>2.962169</v>
      </c>
      <c r="R14" s="194" t="s">
        <v>663</v>
      </c>
      <c r="S14" s="20"/>
    </row>
    <row r="15" spans="1:19" ht="12.75">
      <c r="A15" s="510">
        <f t="shared" si="4"/>
        <v>4</v>
      </c>
      <c r="B15" s="518" t="s">
        <v>332</v>
      </c>
      <c r="C15" s="514"/>
      <c r="D15" s="191"/>
      <c r="E15" s="192">
        <f t="shared" si="0"/>
        <v>0</v>
      </c>
      <c r="F15" s="193"/>
      <c r="G15" s="628"/>
      <c r="H15" s="623">
        <f>G15*3</f>
        <v>0</v>
      </c>
      <c r="I15" s="627">
        <f t="shared" si="1"/>
        <v>0</v>
      </c>
      <c r="J15" s="193"/>
      <c r="K15" s="628">
        <v>4</v>
      </c>
      <c r="L15" s="623">
        <f t="shared" si="2"/>
        <v>10</v>
      </c>
      <c r="M15" s="627">
        <f t="shared" si="3"/>
        <v>19.7915</v>
      </c>
      <c r="N15" s="696" t="s">
        <v>337</v>
      </c>
      <c r="O15" s="823"/>
      <c r="P15" s="191"/>
      <c r="Q15" s="195"/>
      <c r="R15" s="194"/>
      <c r="S15" s="20"/>
    </row>
    <row r="16" spans="1:19" ht="12.75">
      <c r="A16" s="510">
        <f t="shared" si="4"/>
        <v>5</v>
      </c>
      <c r="B16" s="518" t="s">
        <v>72</v>
      </c>
      <c r="C16" s="514"/>
      <c r="D16" s="191"/>
      <c r="E16" s="192">
        <f t="shared" si="0"/>
        <v>0</v>
      </c>
      <c r="F16" s="193"/>
      <c r="G16" s="628">
        <v>2</v>
      </c>
      <c r="H16" s="566">
        <v>6</v>
      </c>
      <c r="I16" s="627">
        <f t="shared" si="1"/>
        <v>8.706527999999999</v>
      </c>
      <c r="J16" s="193" t="s">
        <v>346</v>
      </c>
      <c r="K16" s="628"/>
      <c r="L16" s="623">
        <f t="shared" si="2"/>
        <v>0</v>
      </c>
      <c r="M16" s="627">
        <f t="shared" si="3"/>
        <v>0</v>
      </c>
      <c r="N16" s="696"/>
      <c r="O16" s="823"/>
      <c r="P16" s="191"/>
      <c r="Q16" s="195"/>
      <c r="R16" s="194"/>
      <c r="S16" s="20"/>
    </row>
    <row r="17" spans="1:19" ht="12.75">
      <c r="A17" s="510">
        <f t="shared" si="4"/>
        <v>6</v>
      </c>
      <c r="B17" s="518" t="s">
        <v>26</v>
      </c>
      <c r="C17" s="514"/>
      <c r="D17" s="191"/>
      <c r="E17" s="192">
        <f t="shared" si="0"/>
        <v>0</v>
      </c>
      <c r="F17" s="193"/>
      <c r="G17" s="628"/>
      <c r="H17" s="623">
        <f>G17*3</f>
        <v>0</v>
      </c>
      <c r="I17" s="627">
        <f t="shared" si="1"/>
        <v>0</v>
      </c>
      <c r="J17" s="193"/>
      <c r="K17" s="628">
        <v>1</v>
      </c>
      <c r="L17" s="623">
        <f t="shared" si="2"/>
        <v>2.5</v>
      </c>
      <c r="M17" s="627">
        <f t="shared" si="3"/>
        <v>4.947875</v>
      </c>
      <c r="N17" s="696" t="s">
        <v>340</v>
      </c>
      <c r="O17" s="823"/>
      <c r="P17" s="191"/>
      <c r="Q17" s="196"/>
      <c r="R17" s="194"/>
      <c r="S17" s="20"/>
    </row>
    <row r="18" spans="1:19" ht="12" customHeight="1">
      <c r="A18" s="510">
        <f t="shared" si="4"/>
        <v>7</v>
      </c>
      <c r="B18" s="518" t="s">
        <v>158</v>
      </c>
      <c r="C18" s="514">
        <v>2</v>
      </c>
      <c r="D18" s="191">
        <v>6</v>
      </c>
      <c r="E18" s="192">
        <f t="shared" si="0"/>
        <v>10.716364800000001</v>
      </c>
      <c r="F18" s="193" t="s">
        <v>618</v>
      </c>
      <c r="G18" s="628">
        <v>1</v>
      </c>
      <c r="H18" s="566">
        <v>3</v>
      </c>
      <c r="I18" s="627">
        <f t="shared" si="1"/>
        <v>4.353263999999999</v>
      </c>
      <c r="J18" s="193" t="s">
        <v>347</v>
      </c>
      <c r="K18" s="628"/>
      <c r="L18" s="623">
        <f t="shared" si="2"/>
        <v>0</v>
      </c>
      <c r="M18" s="627">
        <f t="shared" si="3"/>
        <v>0</v>
      </c>
      <c r="N18" s="696"/>
      <c r="O18" s="823"/>
      <c r="P18" s="191"/>
      <c r="Q18" s="196"/>
      <c r="R18" s="194"/>
      <c r="S18" s="20"/>
    </row>
    <row r="19" spans="1:19" ht="12" customHeight="1">
      <c r="A19" s="510">
        <f t="shared" si="4"/>
        <v>8</v>
      </c>
      <c r="B19" s="518" t="s">
        <v>27</v>
      </c>
      <c r="C19" s="514"/>
      <c r="D19" s="191"/>
      <c r="E19" s="192">
        <f t="shared" si="0"/>
        <v>0</v>
      </c>
      <c r="F19" s="193"/>
      <c r="G19" s="628"/>
      <c r="H19" s="623">
        <f>G19*3</f>
        <v>0</v>
      </c>
      <c r="I19" s="627">
        <f t="shared" si="1"/>
        <v>0</v>
      </c>
      <c r="J19" s="193"/>
      <c r="K19" s="628">
        <v>1</v>
      </c>
      <c r="L19" s="623">
        <f t="shared" si="2"/>
        <v>2.5</v>
      </c>
      <c r="M19" s="627">
        <f t="shared" si="3"/>
        <v>4.947875</v>
      </c>
      <c r="N19" s="696" t="s">
        <v>342</v>
      </c>
      <c r="O19" s="823"/>
      <c r="P19" s="191"/>
      <c r="Q19" s="196"/>
      <c r="R19" s="194"/>
      <c r="S19" s="20"/>
    </row>
    <row r="20" spans="1:19" ht="12.75">
      <c r="A20" s="510">
        <f t="shared" si="4"/>
        <v>9</v>
      </c>
      <c r="B20" s="642" t="s">
        <v>118</v>
      </c>
      <c r="C20" s="514">
        <v>2</v>
      </c>
      <c r="D20" s="191">
        <v>6.5</v>
      </c>
      <c r="E20" s="192">
        <f t="shared" si="0"/>
        <v>11.6093952</v>
      </c>
      <c r="F20" s="193" t="s">
        <v>420</v>
      </c>
      <c r="G20" s="628"/>
      <c r="H20" s="566">
        <f>G20*3</f>
        <v>0</v>
      </c>
      <c r="I20" s="627">
        <f t="shared" si="1"/>
        <v>0</v>
      </c>
      <c r="J20" s="197"/>
      <c r="K20" s="628"/>
      <c r="L20" s="623">
        <f t="shared" si="2"/>
        <v>0</v>
      </c>
      <c r="M20" s="627">
        <f t="shared" si="3"/>
        <v>0</v>
      </c>
      <c r="N20" s="696"/>
      <c r="O20" s="823"/>
      <c r="P20" s="191"/>
      <c r="Q20" s="196"/>
      <c r="R20" s="194"/>
      <c r="S20" s="20"/>
    </row>
    <row r="21" spans="1:19" ht="12.75">
      <c r="A21" s="510">
        <f t="shared" si="4"/>
        <v>10</v>
      </c>
      <c r="B21" s="518" t="s">
        <v>76</v>
      </c>
      <c r="C21" s="514">
        <v>5</v>
      </c>
      <c r="D21" s="191">
        <v>20</v>
      </c>
      <c r="E21" s="192">
        <f t="shared" si="0"/>
        <v>35.721216</v>
      </c>
      <c r="F21" s="193"/>
      <c r="G21" s="628">
        <v>5</v>
      </c>
      <c r="H21" s="623">
        <v>20</v>
      </c>
      <c r="I21" s="627">
        <f t="shared" si="1"/>
        <v>29.02176</v>
      </c>
      <c r="J21" s="193" t="s">
        <v>344</v>
      </c>
      <c r="K21" s="628"/>
      <c r="L21" s="623">
        <f t="shared" si="2"/>
        <v>0</v>
      </c>
      <c r="M21" s="627">
        <f t="shared" si="3"/>
        <v>0</v>
      </c>
      <c r="N21" s="696"/>
      <c r="O21" s="823"/>
      <c r="P21" s="191"/>
      <c r="Q21" s="196"/>
      <c r="R21" s="194"/>
      <c r="S21" s="20"/>
    </row>
    <row r="22" spans="1:19" ht="12.75">
      <c r="A22" s="510">
        <f t="shared" si="4"/>
        <v>11</v>
      </c>
      <c r="B22" s="518" t="s">
        <v>29</v>
      </c>
      <c r="C22" s="514"/>
      <c r="D22" s="191"/>
      <c r="E22" s="192">
        <f t="shared" si="0"/>
        <v>0</v>
      </c>
      <c r="F22" s="193"/>
      <c r="G22" s="628"/>
      <c r="H22" s="566">
        <f aca="true" t="shared" si="5" ref="H22:H53">G22*3</f>
        <v>0</v>
      </c>
      <c r="I22" s="627">
        <f t="shared" si="1"/>
        <v>0</v>
      </c>
      <c r="J22" s="193"/>
      <c r="K22" s="628"/>
      <c r="L22" s="623">
        <f t="shared" si="2"/>
        <v>0</v>
      </c>
      <c r="M22" s="627">
        <f t="shared" si="3"/>
        <v>0</v>
      </c>
      <c r="N22" s="696"/>
      <c r="O22" s="823">
        <v>1</v>
      </c>
      <c r="P22" s="191">
        <v>0.7</v>
      </c>
      <c r="Q22" s="196">
        <f>4.23167*P22</f>
        <v>2.962169</v>
      </c>
      <c r="R22" s="194" t="s">
        <v>348</v>
      </c>
      <c r="S22" s="20"/>
    </row>
    <row r="23" spans="1:19" ht="12.75">
      <c r="A23" s="510">
        <f t="shared" si="4"/>
        <v>12</v>
      </c>
      <c r="B23" s="518" t="s">
        <v>79</v>
      </c>
      <c r="C23" s="514">
        <v>3</v>
      </c>
      <c r="D23" s="191">
        <v>10</v>
      </c>
      <c r="E23" s="192">
        <f t="shared" si="0"/>
        <v>17.860608</v>
      </c>
      <c r="F23" s="193" t="s">
        <v>598</v>
      </c>
      <c r="G23" s="628"/>
      <c r="H23" s="566">
        <f t="shared" si="5"/>
        <v>0</v>
      </c>
      <c r="I23" s="627">
        <f t="shared" si="1"/>
        <v>0</v>
      </c>
      <c r="J23" s="193"/>
      <c r="K23" s="628"/>
      <c r="L23" s="623">
        <f t="shared" si="2"/>
        <v>0</v>
      </c>
      <c r="M23" s="627">
        <f t="shared" si="3"/>
        <v>0</v>
      </c>
      <c r="N23" s="696"/>
      <c r="O23" s="823"/>
      <c r="P23" s="191"/>
      <c r="Q23" s="196"/>
      <c r="R23" s="194"/>
      <c r="S23" s="20"/>
    </row>
    <row r="24" spans="1:19" ht="12.75">
      <c r="A24" s="510">
        <f t="shared" si="4"/>
        <v>13</v>
      </c>
      <c r="B24" s="518" t="s">
        <v>136</v>
      </c>
      <c r="C24" s="514">
        <v>4</v>
      </c>
      <c r="D24" s="191">
        <v>8</v>
      </c>
      <c r="E24" s="192">
        <f t="shared" si="0"/>
        <v>14.2884864</v>
      </c>
      <c r="F24" s="193"/>
      <c r="G24" s="628"/>
      <c r="H24" s="566">
        <f t="shared" si="5"/>
        <v>0</v>
      </c>
      <c r="I24" s="627">
        <f t="shared" si="1"/>
        <v>0</v>
      </c>
      <c r="J24" s="197"/>
      <c r="K24" s="628"/>
      <c r="L24" s="623">
        <f t="shared" si="2"/>
        <v>0</v>
      </c>
      <c r="M24" s="627">
        <f t="shared" si="3"/>
        <v>0</v>
      </c>
      <c r="N24" s="696"/>
      <c r="O24" s="823"/>
      <c r="P24" s="191"/>
      <c r="Q24" s="196"/>
      <c r="R24" s="194"/>
      <c r="S24" s="20"/>
    </row>
    <row r="25" spans="1:19" ht="12.75">
      <c r="A25" s="510">
        <f t="shared" si="4"/>
        <v>14</v>
      </c>
      <c r="B25" s="518" t="s">
        <v>476</v>
      </c>
      <c r="C25" s="514"/>
      <c r="D25" s="191"/>
      <c r="E25" s="192">
        <f t="shared" si="0"/>
        <v>0</v>
      </c>
      <c r="F25" s="193"/>
      <c r="G25" s="628">
        <v>1</v>
      </c>
      <c r="H25" s="566">
        <f t="shared" si="5"/>
        <v>3</v>
      </c>
      <c r="I25" s="627">
        <f t="shared" si="1"/>
        <v>4.353263999999999</v>
      </c>
      <c r="J25" s="193" t="s">
        <v>403</v>
      </c>
      <c r="K25" s="628"/>
      <c r="L25" s="623">
        <f t="shared" si="2"/>
        <v>0</v>
      </c>
      <c r="M25" s="627">
        <f t="shared" si="3"/>
        <v>0</v>
      </c>
      <c r="N25" s="696"/>
      <c r="O25" s="823"/>
      <c r="P25" s="191"/>
      <c r="Q25" s="196"/>
      <c r="R25" s="194"/>
      <c r="S25" s="20"/>
    </row>
    <row r="26" spans="1:19" ht="12.75">
      <c r="A26" s="510">
        <f t="shared" si="4"/>
        <v>15</v>
      </c>
      <c r="B26" s="518" t="s">
        <v>358</v>
      </c>
      <c r="C26" s="514">
        <v>4</v>
      </c>
      <c r="D26" s="191">
        <v>10</v>
      </c>
      <c r="E26" s="192">
        <f t="shared" si="0"/>
        <v>17.860608</v>
      </c>
      <c r="F26" s="193" t="s">
        <v>485</v>
      </c>
      <c r="G26" s="628"/>
      <c r="H26" s="566">
        <f t="shared" si="5"/>
        <v>0</v>
      </c>
      <c r="I26" s="627">
        <f t="shared" si="1"/>
        <v>0</v>
      </c>
      <c r="J26" s="193"/>
      <c r="K26" s="628">
        <v>3</v>
      </c>
      <c r="L26" s="623">
        <f t="shared" si="2"/>
        <v>7.5</v>
      </c>
      <c r="M26" s="627">
        <f t="shared" si="3"/>
        <v>14.843625</v>
      </c>
      <c r="N26" s="696" t="s">
        <v>484</v>
      </c>
      <c r="O26" s="823"/>
      <c r="P26" s="191"/>
      <c r="Q26" s="196"/>
      <c r="R26" s="199"/>
      <c r="S26" s="20"/>
    </row>
    <row r="27" spans="1:19" ht="12.75">
      <c r="A27" s="510">
        <f t="shared" si="4"/>
        <v>16</v>
      </c>
      <c r="B27" s="518" t="s">
        <v>59</v>
      </c>
      <c r="C27" s="514"/>
      <c r="D27" s="191"/>
      <c r="E27" s="192">
        <f t="shared" si="0"/>
        <v>0</v>
      </c>
      <c r="F27" s="193"/>
      <c r="G27" s="628"/>
      <c r="H27" s="566">
        <f t="shared" si="5"/>
        <v>0</v>
      </c>
      <c r="I27" s="627">
        <f t="shared" si="1"/>
        <v>0</v>
      </c>
      <c r="J27" s="193"/>
      <c r="K27" s="628">
        <v>1</v>
      </c>
      <c r="L27" s="623">
        <f t="shared" si="2"/>
        <v>2.5</v>
      </c>
      <c r="M27" s="627">
        <f t="shared" si="3"/>
        <v>4.947875</v>
      </c>
      <c r="N27" s="696" t="s">
        <v>481</v>
      </c>
      <c r="O27" s="823"/>
      <c r="P27" s="191"/>
      <c r="Q27" s="196"/>
      <c r="R27" s="199"/>
      <c r="S27" s="20"/>
    </row>
    <row r="28" spans="1:19" ht="12.75">
      <c r="A28" s="510">
        <f t="shared" si="4"/>
        <v>17</v>
      </c>
      <c r="B28" s="519" t="s">
        <v>359</v>
      </c>
      <c r="C28" s="514">
        <v>2</v>
      </c>
      <c r="D28" s="191">
        <v>16</v>
      </c>
      <c r="E28" s="192">
        <f t="shared" si="0"/>
        <v>28.5769728</v>
      </c>
      <c r="F28" s="193" t="s">
        <v>434</v>
      </c>
      <c r="G28" s="628"/>
      <c r="H28" s="566">
        <f t="shared" si="5"/>
        <v>0</v>
      </c>
      <c r="I28" s="627">
        <f t="shared" si="1"/>
        <v>0</v>
      </c>
      <c r="J28" s="193"/>
      <c r="K28" s="628">
        <v>4</v>
      </c>
      <c r="L28" s="623">
        <f t="shared" si="2"/>
        <v>10</v>
      </c>
      <c r="M28" s="627">
        <f t="shared" si="3"/>
        <v>19.7915</v>
      </c>
      <c r="N28" s="696" t="s">
        <v>486</v>
      </c>
      <c r="O28" s="823"/>
      <c r="P28" s="191"/>
      <c r="Q28" s="196"/>
      <c r="R28" s="194"/>
      <c r="S28" s="20"/>
    </row>
    <row r="29" spans="1:19" ht="12.75">
      <c r="A29" s="510">
        <f t="shared" si="4"/>
        <v>18</v>
      </c>
      <c r="B29" s="519" t="s">
        <v>314</v>
      </c>
      <c r="C29" s="514"/>
      <c r="D29" s="191"/>
      <c r="E29" s="192">
        <f t="shared" si="0"/>
        <v>0</v>
      </c>
      <c r="F29" s="193"/>
      <c r="G29" s="558"/>
      <c r="H29" s="566">
        <f t="shared" si="5"/>
        <v>0</v>
      </c>
      <c r="I29" s="627">
        <f t="shared" si="1"/>
        <v>0</v>
      </c>
      <c r="J29" s="193"/>
      <c r="K29" s="628">
        <v>4</v>
      </c>
      <c r="L29" s="623">
        <f t="shared" si="2"/>
        <v>10</v>
      </c>
      <c r="M29" s="627">
        <f t="shared" si="3"/>
        <v>19.7915</v>
      </c>
      <c r="N29" s="696"/>
      <c r="O29" s="823"/>
      <c r="P29" s="191"/>
      <c r="Q29" s="196"/>
      <c r="R29" s="194"/>
      <c r="S29" s="20"/>
    </row>
    <row r="30" spans="1:19" ht="12.75">
      <c r="A30" s="510">
        <f t="shared" si="4"/>
        <v>19</v>
      </c>
      <c r="B30" s="519" t="s">
        <v>492</v>
      </c>
      <c r="C30" s="514"/>
      <c r="D30" s="191"/>
      <c r="E30" s="192">
        <f t="shared" si="0"/>
        <v>0</v>
      </c>
      <c r="F30" s="193"/>
      <c r="G30" s="628"/>
      <c r="H30" s="566">
        <f t="shared" si="5"/>
        <v>0</v>
      </c>
      <c r="I30" s="627">
        <f t="shared" si="1"/>
        <v>0</v>
      </c>
      <c r="J30" s="193"/>
      <c r="K30" s="628">
        <v>2</v>
      </c>
      <c r="L30" s="623">
        <f t="shared" si="2"/>
        <v>5</v>
      </c>
      <c r="M30" s="627">
        <f t="shared" si="3"/>
        <v>9.89575</v>
      </c>
      <c r="N30" s="696" t="s">
        <v>493</v>
      </c>
      <c r="O30" s="823"/>
      <c r="P30" s="191"/>
      <c r="Q30" s="196"/>
      <c r="R30" s="194"/>
      <c r="S30" s="20"/>
    </row>
    <row r="31" spans="1:19" ht="12.75">
      <c r="A31" s="510">
        <f t="shared" si="4"/>
        <v>20</v>
      </c>
      <c r="B31" s="519" t="s">
        <v>316</v>
      </c>
      <c r="C31" s="514">
        <v>1</v>
      </c>
      <c r="D31" s="191">
        <v>2.5</v>
      </c>
      <c r="E31" s="192">
        <f t="shared" si="0"/>
        <v>4.465152</v>
      </c>
      <c r="F31" s="193" t="s">
        <v>424</v>
      </c>
      <c r="G31" s="628">
        <v>1</v>
      </c>
      <c r="H31" s="566">
        <f t="shared" si="5"/>
        <v>3</v>
      </c>
      <c r="I31" s="627">
        <f t="shared" si="1"/>
        <v>4.353263999999999</v>
      </c>
      <c r="J31" s="193" t="s">
        <v>403</v>
      </c>
      <c r="K31" s="628"/>
      <c r="L31" s="623">
        <f t="shared" si="2"/>
        <v>0</v>
      </c>
      <c r="M31" s="627">
        <f t="shared" si="3"/>
        <v>0</v>
      </c>
      <c r="N31" s="696"/>
      <c r="O31" s="823"/>
      <c r="P31" s="191"/>
      <c r="Q31" s="196"/>
      <c r="R31" s="194"/>
      <c r="S31" s="20"/>
    </row>
    <row r="32" spans="1:19" ht="12.75">
      <c r="A32" s="510">
        <f>A31+1</f>
        <v>21</v>
      </c>
      <c r="B32" s="198" t="s">
        <v>317</v>
      </c>
      <c r="C32" s="515">
        <v>1</v>
      </c>
      <c r="D32" s="191">
        <v>2.5</v>
      </c>
      <c r="E32" s="192">
        <f t="shared" si="0"/>
        <v>4.465152</v>
      </c>
      <c r="F32" s="200" t="s">
        <v>403</v>
      </c>
      <c r="G32" s="629"/>
      <c r="H32" s="566">
        <f t="shared" si="5"/>
        <v>0</v>
      </c>
      <c r="I32" s="627">
        <f t="shared" si="1"/>
        <v>0</v>
      </c>
      <c r="J32" s="193"/>
      <c r="K32" s="629"/>
      <c r="L32" s="623">
        <f t="shared" si="2"/>
        <v>0</v>
      </c>
      <c r="M32" s="627">
        <f t="shared" si="3"/>
        <v>0</v>
      </c>
      <c r="N32" s="697"/>
      <c r="O32" s="12"/>
      <c r="P32" s="113"/>
      <c r="Q32" s="196"/>
      <c r="R32" s="201"/>
      <c r="S32" s="20"/>
    </row>
    <row r="33" spans="1:19" ht="12.75">
      <c r="A33" s="510">
        <f aca="true" t="shared" si="6" ref="A33:A94">A32+1</f>
        <v>22</v>
      </c>
      <c r="B33" s="519" t="s">
        <v>504</v>
      </c>
      <c r="C33" s="515"/>
      <c r="D33" s="113"/>
      <c r="E33" s="192">
        <f t="shared" si="0"/>
        <v>0</v>
      </c>
      <c r="F33" s="200"/>
      <c r="G33" s="629"/>
      <c r="H33" s="566">
        <f t="shared" si="5"/>
        <v>0</v>
      </c>
      <c r="I33" s="627">
        <f t="shared" si="1"/>
        <v>0</v>
      </c>
      <c r="J33" s="193"/>
      <c r="K33" s="629">
        <v>1</v>
      </c>
      <c r="L33" s="623">
        <f t="shared" si="2"/>
        <v>2.5</v>
      </c>
      <c r="M33" s="627">
        <f t="shared" si="3"/>
        <v>4.947875</v>
      </c>
      <c r="N33" s="697" t="s">
        <v>505</v>
      </c>
      <c r="O33" s="12"/>
      <c r="P33" s="113"/>
      <c r="Q33" s="196"/>
      <c r="R33" s="201"/>
      <c r="S33" s="20"/>
    </row>
    <row r="34" spans="1:19" ht="12.75">
      <c r="A34" s="510">
        <f t="shared" si="6"/>
        <v>23</v>
      </c>
      <c r="B34" s="519" t="s">
        <v>418</v>
      </c>
      <c r="C34" s="515">
        <v>1</v>
      </c>
      <c r="D34" s="113">
        <v>2.5</v>
      </c>
      <c r="E34" s="192">
        <f t="shared" si="0"/>
        <v>4.465152</v>
      </c>
      <c r="F34" s="200" t="s">
        <v>403</v>
      </c>
      <c r="G34" s="629"/>
      <c r="H34" s="566">
        <f t="shared" si="5"/>
        <v>0</v>
      </c>
      <c r="I34" s="627">
        <f t="shared" si="1"/>
        <v>0</v>
      </c>
      <c r="J34" s="200"/>
      <c r="K34" s="629"/>
      <c r="L34" s="623">
        <f t="shared" si="2"/>
        <v>0</v>
      </c>
      <c r="M34" s="627">
        <f t="shared" si="3"/>
        <v>0</v>
      </c>
      <c r="N34" s="697"/>
      <c r="O34" s="12"/>
      <c r="P34" s="113"/>
      <c r="Q34" s="196"/>
      <c r="R34" s="201"/>
      <c r="S34" s="20"/>
    </row>
    <row r="35" spans="1:19" ht="12.75">
      <c r="A35" s="510">
        <f t="shared" si="6"/>
        <v>24</v>
      </c>
      <c r="B35" s="519" t="s">
        <v>506</v>
      </c>
      <c r="C35" s="515">
        <v>2</v>
      </c>
      <c r="D35" s="113">
        <v>5</v>
      </c>
      <c r="E35" s="192">
        <f t="shared" si="0"/>
        <v>8.930304</v>
      </c>
      <c r="F35" s="200"/>
      <c r="G35" s="629"/>
      <c r="H35" s="566">
        <f t="shared" si="5"/>
        <v>0</v>
      </c>
      <c r="I35" s="627">
        <f t="shared" si="1"/>
        <v>0</v>
      </c>
      <c r="J35" s="200"/>
      <c r="K35" s="629">
        <v>1</v>
      </c>
      <c r="L35" s="623">
        <f t="shared" si="2"/>
        <v>2.5</v>
      </c>
      <c r="M35" s="627">
        <f t="shared" si="3"/>
        <v>4.947875</v>
      </c>
      <c r="N35" s="696" t="s">
        <v>505</v>
      </c>
      <c r="O35" s="12"/>
      <c r="P35" s="113"/>
      <c r="Q35" s="196"/>
      <c r="R35" s="201"/>
      <c r="S35" s="20"/>
    </row>
    <row r="36" spans="1:19" ht="12.75">
      <c r="A36" s="510">
        <f t="shared" si="6"/>
        <v>25</v>
      </c>
      <c r="B36" s="519" t="s">
        <v>508</v>
      </c>
      <c r="C36" s="515"/>
      <c r="D36" s="113"/>
      <c r="E36" s="192">
        <f t="shared" si="0"/>
        <v>0</v>
      </c>
      <c r="F36" s="200"/>
      <c r="G36" s="629"/>
      <c r="H36" s="566">
        <f t="shared" si="5"/>
        <v>0</v>
      </c>
      <c r="I36" s="627">
        <f t="shared" si="1"/>
        <v>0</v>
      </c>
      <c r="J36" s="200"/>
      <c r="K36" s="629"/>
      <c r="L36" s="623">
        <f t="shared" si="2"/>
        <v>0</v>
      </c>
      <c r="M36" s="627">
        <f t="shared" si="3"/>
        <v>0</v>
      </c>
      <c r="N36" s="697"/>
      <c r="O36" s="12"/>
      <c r="P36" s="113"/>
      <c r="Q36" s="196"/>
      <c r="R36" s="201"/>
      <c r="S36" s="20"/>
    </row>
    <row r="37" spans="1:19" ht="12.75">
      <c r="A37" s="510">
        <f t="shared" si="6"/>
        <v>26</v>
      </c>
      <c r="B37" s="519" t="s">
        <v>80</v>
      </c>
      <c r="C37" s="515"/>
      <c r="D37" s="113"/>
      <c r="E37" s="192">
        <f t="shared" si="0"/>
        <v>0</v>
      </c>
      <c r="F37" s="200"/>
      <c r="G37" s="629">
        <v>4</v>
      </c>
      <c r="H37" s="566">
        <f t="shared" si="5"/>
        <v>12</v>
      </c>
      <c r="I37" s="627">
        <f t="shared" si="1"/>
        <v>17.413055999999997</v>
      </c>
      <c r="J37" s="200"/>
      <c r="K37" s="629"/>
      <c r="L37" s="623">
        <f t="shared" si="2"/>
        <v>0</v>
      </c>
      <c r="M37" s="627">
        <f t="shared" si="3"/>
        <v>0</v>
      </c>
      <c r="N37" s="696"/>
      <c r="O37" s="12"/>
      <c r="P37" s="113"/>
      <c r="Q37" s="196"/>
      <c r="R37" s="201"/>
      <c r="S37" s="20"/>
    </row>
    <row r="38" spans="1:19" ht="12.75">
      <c r="A38" s="510">
        <f t="shared" si="6"/>
        <v>27</v>
      </c>
      <c r="B38" s="519" t="s">
        <v>36</v>
      </c>
      <c r="C38" s="515"/>
      <c r="D38" s="113"/>
      <c r="E38" s="192">
        <f t="shared" si="0"/>
        <v>0</v>
      </c>
      <c r="F38" s="200"/>
      <c r="G38" s="629"/>
      <c r="H38" s="566">
        <f t="shared" si="5"/>
        <v>0</v>
      </c>
      <c r="I38" s="627">
        <f t="shared" si="1"/>
        <v>0</v>
      </c>
      <c r="J38" s="200"/>
      <c r="K38" s="629">
        <v>1</v>
      </c>
      <c r="L38" s="623">
        <f t="shared" si="2"/>
        <v>2.5</v>
      </c>
      <c r="M38" s="627">
        <f t="shared" si="3"/>
        <v>4.947875</v>
      </c>
      <c r="N38" s="697" t="s">
        <v>590</v>
      </c>
      <c r="O38" s="12"/>
      <c r="P38" s="113"/>
      <c r="Q38" s="196"/>
      <c r="R38" s="201"/>
      <c r="S38" s="20"/>
    </row>
    <row r="39" spans="1:19" ht="12.75">
      <c r="A39" s="510">
        <f t="shared" si="6"/>
        <v>28</v>
      </c>
      <c r="B39" s="519" t="s">
        <v>573</v>
      </c>
      <c r="C39" s="515"/>
      <c r="D39" s="113"/>
      <c r="E39" s="192">
        <f t="shared" si="0"/>
        <v>0</v>
      </c>
      <c r="F39" s="200"/>
      <c r="G39" s="629"/>
      <c r="H39" s="566">
        <f t="shared" si="5"/>
        <v>0</v>
      </c>
      <c r="I39" s="627">
        <f t="shared" si="1"/>
        <v>0</v>
      </c>
      <c r="J39" s="200"/>
      <c r="K39" s="629">
        <v>2</v>
      </c>
      <c r="L39" s="623">
        <f t="shared" si="2"/>
        <v>5</v>
      </c>
      <c r="M39" s="627">
        <f t="shared" si="3"/>
        <v>9.89575</v>
      </c>
      <c r="N39" s="697" t="s">
        <v>576</v>
      </c>
      <c r="O39" s="12"/>
      <c r="P39" s="113"/>
      <c r="Q39" s="196"/>
      <c r="R39" s="201"/>
      <c r="S39" s="20"/>
    </row>
    <row r="40" spans="1:19" ht="12.75">
      <c r="A40" s="510">
        <f t="shared" si="6"/>
        <v>29</v>
      </c>
      <c r="B40" s="519" t="s">
        <v>266</v>
      </c>
      <c r="C40" s="515"/>
      <c r="D40" s="113"/>
      <c r="E40" s="192">
        <f t="shared" si="0"/>
        <v>0</v>
      </c>
      <c r="F40" s="200"/>
      <c r="G40" s="629"/>
      <c r="H40" s="566">
        <f t="shared" si="5"/>
        <v>0</v>
      </c>
      <c r="I40" s="627">
        <f t="shared" si="1"/>
        <v>0</v>
      </c>
      <c r="J40" s="193"/>
      <c r="K40" s="629">
        <v>2</v>
      </c>
      <c r="L40" s="623">
        <f t="shared" si="2"/>
        <v>5</v>
      </c>
      <c r="M40" s="627">
        <f t="shared" si="3"/>
        <v>9.89575</v>
      </c>
      <c r="N40" s="697" t="s">
        <v>575</v>
      </c>
      <c r="O40" s="12"/>
      <c r="P40" s="113"/>
      <c r="Q40" s="196"/>
      <c r="R40" s="201"/>
      <c r="S40" s="20"/>
    </row>
    <row r="41" spans="1:19" ht="12.75">
      <c r="A41" s="510">
        <f t="shared" si="6"/>
        <v>30</v>
      </c>
      <c r="B41" s="519" t="s">
        <v>83</v>
      </c>
      <c r="C41" s="515">
        <v>1</v>
      </c>
      <c r="D41" s="113">
        <v>2.5</v>
      </c>
      <c r="E41" s="192">
        <f t="shared" si="0"/>
        <v>4.465152</v>
      </c>
      <c r="F41" s="202" t="s">
        <v>583</v>
      </c>
      <c r="G41" s="629">
        <v>6</v>
      </c>
      <c r="H41" s="566">
        <f t="shared" si="5"/>
        <v>18</v>
      </c>
      <c r="I41" s="627">
        <f t="shared" si="1"/>
        <v>26.119584</v>
      </c>
      <c r="J41" s="202" t="s">
        <v>586</v>
      </c>
      <c r="K41" s="629"/>
      <c r="L41" s="623">
        <f t="shared" si="2"/>
        <v>0</v>
      </c>
      <c r="M41" s="627">
        <f t="shared" si="3"/>
        <v>0</v>
      </c>
      <c r="N41" s="697"/>
      <c r="O41" s="12"/>
      <c r="P41" s="113"/>
      <c r="Q41" s="196"/>
      <c r="R41" s="201"/>
      <c r="S41" s="20"/>
    </row>
    <row r="42" spans="1:19" ht="12.75">
      <c r="A42" s="510">
        <f t="shared" si="6"/>
        <v>31</v>
      </c>
      <c r="B42" s="519" t="s">
        <v>318</v>
      </c>
      <c r="C42" s="515"/>
      <c r="D42" s="113"/>
      <c r="E42" s="192">
        <f t="shared" si="0"/>
        <v>0</v>
      </c>
      <c r="F42" s="200"/>
      <c r="G42" s="629">
        <v>2</v>
      </c>
      <c r="H42" s="566">
        <f t="shared" si="5"/>
        <v>6</v>
      </c>
      <c r="I42" s="627">
        <f t="shared" si="1"/>
        <v>8.706527999999999</v>
      </c>
      <c r="J42" s="200" t="s">
        <v>509</v>
      </c>
      <c r="K42" s="629"/>
      <c r="L42" s="623">
        <f t="shared" si="2"/>
        <v>0</v>
      </c>
      <c r="M42" s="627">
        <f t="shared" si="3"/>
        <v>0</v>
      </c>
      <c r="N42" s="697"/>
      <c r="O42" s="12"/>
      <c r="P42" s="113"/>
      <c r="Q42" s="196"/>
      <c r="R42" s="201"/>
      <c r="S42" s="20"/>
    </row>
    <row r="43" spans="1:19" ht="12.75">
      <c r="A43" s="510">
        <f t="shared" si="6"/>
        <v>32</v>
      </c>
      <c r="B43" s="519" t="s">
        <v>517</v>
      </c>
      <c r="C43" s="515">
        <v>5</v>
      </c>
      <c r="D43" s="113">
        <v>29</v>
      </c>
      <c r="E43" s="192">
        <f t="shared" si="0"/>
        <v>51.7957632</v>
      </c>
      <c r="F43" s="202" t="s">
        <v>520</v>
      </c>
      <c r="G43" s="629"/>
      <c r="H43" s="566">
        <f t="shared" si="5"/>
        <v>0</v>
      </c>
      <c r="I43" s="627">
        <f t="shared" si="1"/>
        <v>0</v>
      </c>
      <c r="J43" s="202"/>
      <c r="K43" s="629"/>
      <c r="L43" s="623">
        <f t="shared" si="2"/>
        <v>0</v>
      </c>
      <c r="M43" s="627">
        <f t="shared" si="3"/>
        <v>0</v>
      </c>
      <c r="N43" s="697"/>
      <c r="O43" s="12"/>
      <c r="P43" s="113"/>
      <c r="Q43" s="196"/>
      <c r="R43" s="201"/>
      <c r="S43" s="20"/>
    </row>
    <row r="44" spans="1:19" ht="12.75">
      <c r="A44" s="510">
        <f t="shared" si="6"/>
        <v>33</v>
      </c>
      <c r="B44" s="519" t="s">
        <v>322</v>
      </c>
      <c r="C44" s="515">
        <v>1</v>
      </c>
      <c r="D44" s="113">
        <v>2.5</v>
      </c>
      <c r="E44" s="192">
        <f t="shared" si="0"/>
        <v>4.465152</v>
      </c>
      <c r="F44" s="200" t="s">
        <v>424</v>
      </c>
      <c r="G44" s="629"/>
      <c r="H44" s="566">
        <f t="shared" si="5"/>
        <v>0</v>
      </c>
      <c r="I44" s="627">
        <f t="shared" si="1"/>
        <v>0</v>
      </c>
      <c r="J44" s="200"/>
      <c r="K44" s="629"/>
      <c r="L44" s="623">
        <f aca="true" t="shared" si="7" ref="L44:L61">K44*2.5</f>
        <v>0</v>
      </c>
      <c r="M44" s="627">
        <f t="shared" si="3"/>
        <v>0</v>
      </c>
      <c r="N44" s="697"/>
      <c r="O44" s="12"/>
      <c r="P44" s="113"/>
      <c r="Q44" s="196"/>
      <c r="R44" s="201"/>
      <c r="S44" s="20"/>
    </row>
    <row r="45" spans="1:19" ht="12.75">
      <c r="A45" s="510">
        <f t="shared" si="6"/>
        <v>34</v>
      </c>
      <c r="B45" s="519" t="s">
        <v>385</v>
      </c>
      <c r="C45" s="515">
        <v>1</v>
      </c>
      <c r="D45" s="113">
        <v>3</v>
      </c>
      <c r="E45" s="192">
        <f t="shared" si="0"/>
        <v>5.3581824000000005</v>
      </c>
      <c r="F45" s="200" t="s">
        <v>424</v>
      </c>
      <c r="G45" s="629">
        <v>1</v>
      </c>
      <c r="H45" s="566">
        <f t="shared" si="5"/>
        <v>3</v>
      </c>
      <c r="I45" s="627">
        <f t="shared" si="1"/>
        <v>4.353263999999999</v>
      </c>
      <c r="J45" s="202" t="s">
        <v>424</v>
      </c>
      <c r="K45" s="629"/>
      <c r="L45" s="623">
        <f t="shared" si="7"/>
        <v>0</v>
      </c>
      <c r="M45" s="627">
        <f t="shared" si="3"/>
        <v>0</v>
      </c>
      <c r="N45" s="697"/>
      <c r="O45" s="12"/>
      <c r="P45" s="113"/>
      <c r="Q45" s="196"/>
      <c r="R45" s="201"/>
      <c r="S45" s="20"/>
    </row>
    <row r="46" spans="1:19" ht="12.75">
      <c r="A46" s="510">
        <f t="shared" si="6"/>
        <v>35</v>
      </c>
      <c r="B46" s="519" t="s">
        <v>86</v>
      </c>
      <c r="C46" s="515">
        <v>4</v>
      </c>
      <c r="D46" s="113">
        <v>8</v>
      </c>
      <c r="E46" s="192">
        <f t="shared" si="0"/>
        <v>14.2884864</v>
      </c>
      <c r="F46" s="200"/>
      <c r="G46" s="629"/>
      <c r="H46" s="566">
        <f t="shared" si="5"/>
        <v>0</v>
      </c>
      <c r="I46" s="627">
        <f t="shared" si="1"/>
        <v>0</v>
      </c>
      <c r="J46" s="200"/>
      <c r="K46" s="629"/>
      <c r="L46" s="623">
        <f t="shared" si="7"/>
        <v>0</v>
      </c>
      <c r="M46" s="627">
        <f t="shared" si="3"/>
        <v>0</v>
      </c>
      <c r="N46" s="697"/>
      <c r="O46" s="12"/>
      <c r="P46" s="113"/>
      <c r="Q46" s="196"/>
      <c r="R46" s="201"/>
      <c r="S46" s="20"/>
    </row>
    <row r="47" spans="1:19" ht="12.75">
      <c r="A47" s="510">
        <f t="shared" si="6"/>
        <v>36</v>
      </c>
      <c r="B47" s="519" t="s">
        <v>88</v>
      </c>
      <c r="C47" s="515">
        <v>2</v>
      </c>
      <c r="D47" s="113">
        <v>5</v>
      </c>
      <c r="E47" s="192">
        <f t="shared" si="0"/>
        <v>8.930304</v>
      </c>
      <c r="F47" s="200" t="s">
        <v>434</v>
      </c>
      <c r="G47" s="629">
        <v>1</v>
      </c>
      <c r="H47" s="566">
        <f t="shared" si="5"/>
        <v>3</v>
      </c>
      <c r="I47" s="627">
        <f t="shared" si="1"/>
        <v>4.353263999999999</v>
      </c>
      <c r="J47" s="200" t="s">
        <v>599</v>
      </c>
      <c r="K47" s="629"/>
      <c r="L47" s="623">
        <f t="shared" si="7"/>
        <v>0</v>
      </c>
      <c r="M47" s="627">
        <f t="shared" si="3"/>
        <v>0</v>
      </c>
      <c r="N47" s="697"/>
      <c r="O47" s="12"/>
      <c r="P47" s="113"/>
      <c r="Q47" s="196"/>
      <c r="R47" s="201"/>
      <c r="S47" s="20"/>
    </row>
    <row r="48" spans="1:19" ht="12.75">
      <c r="A48" s="510">
        <f t="shared" si="6"/>
        <v>37</v>
      </c>
      <c r="B48" s="519" t="s">
        <v>122</v>
      </c>
      <c r="C48" s="515">
        <v>1</v>
      </c>
      <c r="D48" s="113">
        <v>1</v>
      </c>
      <c r="E48" s="192">
        <f t="shared" si="0"/>
        <v>1.7860608</v>
      </c>
      <c r="F48" s="200"/>
      <c r="G48" s="629"/>
      <c r="H48" s="566">
        <f t="shared" si="5"/>
        <v>0</v>
      </c>
      <c r="I48" s="627">
        <f t="shared" si="1"/>
        <v>0</v>
      </c>
      <c r="J48" s="200"/>
      <c r="K48" s="629"/>
      <c r="L48" s="623">
        <f t="shared" si="7"/>
        <v>0</v>
      </c>
      <c r="M48" s="627">
        <f t="shared" si="3"/>
        <v>0</v>
      </c>
      <c r="N48" s="697"/>
      <c r="O48" s="12"/>
      <c r="P48" s="113"/>
      <c r="Q48" s="196"/>
      <c r="R48" s="201"/>
      <c r="S48" s="20"/>
    </row>
    <row r="49" spans="1:19" ht="12.75">
      <c r="A49" s="510">
        <f t="shared" si="6"/>
        <v>38</v>
      </c>
      <c r="B49" s="519" t="s">
        <v>324</v>
      </c>
      <c r="C49" s="515">
        <v>2</v>
      </c>
      <c r="D49" s="113">
        <v>7</v>
      </c>
      <c r="E49" s="192">
        <f t="shared" si="0"/>
        <v>12.5024256</v>
      </c>
      <c r="F49" s="202" t="s">
        <v>406</v>
      </c>
      <c r="G49" s="629"/>
      <c r="H49" s="566">
        <f t="shared" si="5"/>
        <v>0</v>
      </c>
      <c r="I49" s="627">
        <f t="shared" si="1"/>
        <v>0</v>
      </c>
      <c r="J49" s="197"/>
      <c r="K49" s="629"/>
      <c r="L49" s="623">
        <f t="shared" si="7"/>
        <v>0</v>
      </c>
      <c r="M49" s="627">
        <f t="shared" si="3"/>
        <v>0</v>
      </c>
      <c r="N49" s="697"/>
      <c r="O49" s="12"/>
      <c r="P49" s="113"/>
      <c r="Q49" s="196"/>
      <c r="R49" s="201"/>
      <c r="S49" s="20"/>
    </row>
    <row r="50" spans="1:19" ht="12.75">
      <c r="A50" s="510">
        <f t="shared" si="6"/>
        <v>39</v>
      </c>
      <c r="B50" s="519" t="s">
        <v>531</v>
      </c>
      <c r="C50" s="515"/>
      <c r="D50" s="113"/>
      <c r="E50" s="192">
        <f t="shared" si="0"/>
        <v>0</v>
      </c>
      <c r="F50" s="200"/>
      <c r="G50" s="629">
        <v>1</v>
      </c>
      <c r="H50" s="566">
        <f t="shared" si="5"/>
        <v>3</v>
      </c>
      <c r="I50" s="627">
        <f t="shared" si="1"/>
        <v>4.353263999999999</v>
      </c>
      <c r="J50" s="193" t="s">
        <v>404</v>
      </c>
      <c r="K50" s="629">
        <v>3</v>
      </c>
      <c r="L50" s="623">
        <f t="shared" si="7"/>
        <v>7.5</v>
      </c>
      <c r="M50" s="627">
        <f t="shared" si="3"/>
        <v>14.843625</v>
      </c>
      <c r="N50" s="697" t="s">
        <v>532</v>
      </c>
      <c r="O50" s="12"/>
      <c r="P50" s="113"/>
      <c r="Q50" s="196"/>
      <c r="R50" s="201"/>
      <c r="S50" s="20"/>
    </row>
    <row r="51" spans="1:19" ht="12.75">
      <c r="A51" s="510">
        <f t="shared" si="6"/>
        <v>40</v>
      </c>
      <c r="B51" s="519" t="s">
        <v>533</v>
      </c>
      <c r="C51" s="515">
        <v>1</v>
      </c>
      <c r="D51" s="113">
        <v>2.5</v>
      </c>
      <c r="E51" s="192">
        <f t="shared" si="0"/>
        <v>4.465152</v>
      </c>
      <c r="F51" s="200" t="s">
        <v>424</v>
      </c>
      <c r="G51" s="629"/>
      <c r="H51" s="566">
        <f t="shared" si="5"/>
        <v>0</v>
      </c>
      <c r="I51" s="627">
        <f t="shared" si="1"/>
        <v>0</v>
      </c>
      <c r="J51" s="193"/>
      <c r="K51" s="629">
        <v>3</v>
      </c>
      <c r="L51" s="623">
        <f t="shared" si="7"/>
        <v>7.5</v>
      </c>
      <c r="M51" s="627">
        <f t="shared" si="3"/>
        <v>14.843625</v>
      </c>
      <c r="N51" s="697" t="s">
        <v>534</v>
      </c>
      <c r="O51" s="12"/>
      <c r="P51" s="113"/>
      <c r="Q51" s="196"/>
      <c r="R51" s="201"/>
      <c r="S51" s="20"/>
    </row>
    <row r="52" spans="1:19" ht="12.75">
      <c r="A52" s="510">
        <f t="shared" si="6"/>
        <v>41</v>
      </c>
      <c r="B52" s="519" t="s">
        <v>537</v>
      </c>
      <c r="C52" s="515"/>
      <c r="D52" s="113"/>
      <c r="E52" s="192">
        <f t="shared" si="0"/>
        <v>0</v>
      </c>
      <c r="F52" s="200"/>
      <c r="G52" s="629"/>
      <c r="H52" s="566">
        <f t="shared" si="5"/>
        <v>0</v>
      </c>
      <c r="I52" s="627">
        <f t="shared" si="1"/>
        <v>0</v>
      </c>
      <c r="J52" s="193"/>
      <c r="K52" s="629">
        <v>3</v>
      </c>
      <c r="L52" s="623">
        <f t="shared" si="7"/>
        <v>7.5</v>
      </c>
      <c r="M52" s="627">
        <f t="shared" si="3"/>
        <v>14.843625</v>
      </c>
      <c r="N52" s="697"/>
      <c r="O52" s="12"/>
      <c r="P52" s="113"/>
      <c r="Q52" s="196"/>
      <c r="R52" s="201"/>
      <c r="S52" s="20"/>
    </row>
    <row r="53" spans="1:19" ht="12.75">
      <c r="A53" s="510">
        <f t="shared" si="6"/>
        <v>42</v>
      </c>
      <c r="B53" s="519" t="s">
        <v>187</v>
      </c>
      <c r="C53" s="515">
        <v>1</v>
      </c>
      <c r="D53" s="113">
        <v>2.5</v>
      </c>
      <c r="E53" s="192">
        <f t="shared" si="0"/>
        <v>4.465152</v>
      </c>
      <c r="F53" s="200" t="s">
        <v>424</v>
      </c>
      <c r="G53" s="629"/>
      <c r="H53" s="566">
        <f t="shared" si="5"/>
        <v>0</v>
      </c>
      <c r="I53" s="627">
        <f t="shared" si="1"/>
        <v>0</v>
      </c>
      <c r="J53" s="193"/>
      <c r="K53" s="629"/>
      <c r="L53" s="623">
        <f t="shared" si="7"/>
        <v>0</v>
      </c>
      <c r="M53" s="627">
        <f t="shared" si="3"/>
        <v>0</v>
      </c>
      <c r="N53" s="697" t="s">
        <v>535</v>
      </c>
      <c r="O53" s="12"/>
      <c r="P53" s="113"/>
      <c r="Q53" s="196"/>
      <c r="R53" s="201"/>
      <c r="S53" s="20"/>
    </row>
    <row r="54" spans="1:19" ht="12.75">
      <c r="A54" s="510">
        <f t="shared" si="6"/>
        <v>43</v>
      </c>
      <c r="B54" s="519" t="s">
        <v>544</v>
      </c>
      <c r="C54" s="515">
        <v>1</v>
      </c>
      <c r="D54" s="113">
        <v>4</v>
      </c>
      <c r="E54" s="192">
        <f t="shared" si="0"/>
        <v>7.1442432</v>
      </c>
      <c r="F54" s="200" t="s">
        <v>545</v>
      </c>
      <c r="G54" s="629"/>
      <c r="H54" s="566">
        <f aca="true" t="shared" si="8" ref="H54:H89">G54*3</f>
        <v>0</v>
      </c>
      <c r="I54" s="627">
        <f t="shared" si="1"/>
        <v>0</v>
      </c>
      <c r="J54" s="193"/>
      <c r="K54" s="629"/>
      <c r="L54" s="623">
        <f t="shared" si="7"/>
        <v>0</v>
      </c>
      <c r="M54" s="627">
        <f t="shared" si="3"/>
        <v>0</v>
      </c>
      <c r="N54" s="697"/>
      <c r="O54" s="12"/>
      <c r="P54" s="113"/>
      <c r="Q54" s="196"/>
      <c r="R54" s="201"/>
      <c r="S54" s="20"/>
    </row>
    <row r="55" spans="1:19" ht="12.75">
      <c r="A55" s="510">
        <f t="shared" si="6"/>
        <v>44</v>
      </c>
      <c r="B55" s="519" t="s">
        <v>63</v>
      </c>
      <c r="C55" s="515"/>
      <c r="D55" s="113"/>
      <c r="E55" s="192">
        <f t="shared" si="0"/>
        <v>0</v>
      </c>
      <c r="F55" s="200"/>
      <c r="G55" s="629"/>
      <c r="H55" s="566">
        <f t="shared" si="8"/>
        <v>0</v>
      </c>
      <c r="I55" s="627">
        <f t="shared" si="1"/>
        <v>0</v>
      </c>
      <c r="J55" s="200"/>
      <c r="K55" s="629">
        <v>1</v>
      </c>
      <c r="L55" s="623">
        <f t="shared" si="7"/>
        <v>2.5</v>
      </c>
      <c r="M55" s="627">
        <f t="shared" si="3"/>
        <v>4.947875</v>
      </c>
      <c r="N55" s="697" t="s">
        <v>381</v>
      </c>
      <c r="O55" s="12"/>
      <c r="P55" s="113"/>
      <c r="Q55" s="196"/>
      <c r="R55" s="201"/>
      <c r="S55" s="20"/>
    </row>
    <row r="56" spans="1:19" ht="12.75">
      <c r="A56" s="510">
        <f t="shared" si="6"/>
        <v>45</v>
      </c>
      <c r="B56" s="519" t="s">
        <v>63</v>
      </c>
      <c r="C56" s="515"/>
      <c r="D56" s="113"/>
      <c r="E56" s="192">
        <f t="shared" si="0"/>
        <v>0</v>
      </c>
      <c r="F56" s="202"/>
      <c r="G56" s="629">
        <v>2</v>
      </c>
      <c r="H56" s="566">
        <f t="shared" si="8"/>
        <v>6</v>
      </c>
      <c r="I56" s="627">
        <f t="shared" si="1"/>
        <v>8.706527999999999</v>
      </c>
      <c r="J56" s="200" t="s">
        <v>509</v>
      </c>
      <c r="K56" s="629"/>
      <c r="L56" s="623">
        <f t="shared" si="7"/>
        <v>0</v>
      </c>
      <c r="M56" s="627">
        <f t="shared" si="3"/>
        <v>0</v>
      </c>
      <c r="N56" s="697"/>
      <c r="O56" s="12"/>
      <c r="P56" s="113"/>
      <c r="Q56" s="196"/>
      <c r="R56" s="204"/>
      <c r="S56" s="20"/>
    </row>
    <row r="57" spans="1:19" ht="12.75" customHeight="1">
      <c r="A57" s="510">
        <f t="shared" si="6"/>
        <v>46</v>
      </c>
      <c r="B57" s="519" t="s">
        <v>65</v>
      </c>
      <c r="C57" s="515">
        <v>2</v>
      </c>
      <c r="D57" s="113">
        <v>5</v>
      </c>
      <c r="E57" s="192">
        <f t="shared" si="0"/>
        <v>8.930304</v>
      </c>
      <c r="F57" s="200" t="s">
        <v>434</v>
      </c>
      <c r="G57" s="629"/>
      <c r="H57" s="566">
        <f t="shared" si="8"/>
        <v>0</v>
      </c>
      <c r="I57" s="627">
        <f t="shared" si="1"/>
        <v>0</v>
      </c>
      <c r="J57" s="200"/>
      <c r="K57" s="629"/>
      <c r="L57" s="623">
        <f t="shared" si="7"/>
        <v>0</v>
      </c>
      <c r="M57" s="627">
        <f t="shared" si="3"/>
        <v>0</v>
      </c>
      <c r="N57" s="697"/>
      <c r="O57" s="12"/>
      <c r="P57" s="113"/>
      <c r="Q57" s="196"/>
      <c r="R57" s="201"/>
      <c r="S57" s="20"/>
    </row>
    <row r="58" spans="1:19" ht="14.25" customHeight="1">
      <c r="A58" s="510">
        <f t="shared" si="6"/>
        <v>47</v>
      </c>
      <c r="B58" s="519" t="s">
        <v>106</v>
      </c>
      <c r="C58" s="515">
        <v>5</v>
      </c>
      <c r="D58" s="113">
        <v>2</v>
      </c>
      <c r="E58" s="192">
        <f t="shared" si="0"/>
        <v>3.5721216</v>
      </c>
      <c r="F58" s="200" t="s">
        <v>546</v>
      </c>
      <c r="G58" s="629">
        <v>5</v>
      </c>
      <c r="H58" s="566">
        <f t="shared" si="8"/>
        <v>15</v>
      </c>
      <c r="I58" s="627">
        <f t="shared" si="1"/>
        <v>21.76632</v>
      </c>
      <c r="J58" s="200" t="s">
        <v>399</v>
      </c>
      <c r="K58" s="629"/>
      <c r="L58" s="623">
        <f t="shared" si="7"/>
        <v>0</v>
      </c>
      <c r="M58" s="627">
        <f t="shared" si="3"/>
        <v>0</v>
      </c>
      <c r="N58" s="697"/>
      <c r="O58" s="12"/>
      <c r="P58" s="113"/>
      <c r="Q58" s="196"/>
      <c r="R58" s="201"/>
      <c r="S58" s="20"/>
    </row>
    <row r="59" spans="1:19" ht="12.75" customHeight="1">
      <c r="A59" s="510">
        <f t="shared" si="6"/>
        <v>48</v>
      </c>
      <c r="B59" s="519" t="s">
        <v>138</v>
      </c>
      <c r="C59" s="515">
        <v>4</v>
      </c>
      <c r="D59" s="113">
        <v>1</v>
      </c>
      <c r="E59" s="192">
        <f t="shared" si="0"/>
        <v>1.7860608</v>
      </c>
      <c r="F59" s="200" t="s">
        <v>550</v>
      </c>
      <c r="G59" s="629">
        <v>4</v>
      </c>
      <c r="H59" s="566">
        <f t="shared" si="8"/>
        <v>12</v>
      </c>
      <c r="I59" s="627">
        <f t="shared" si="1"/>
        <v>17.413055999999997</v>
      </c>
      <c r="J59" s="200" t="s">
        <v>399</v>
      </c>
      <c r="K59" s="629"/>
      <c r="L59" s="623">
        <f t="shared" si="7"/>
        <v>0</v>
      </c>
      <c r="M59" s="627">
        <f t="shared" si="3"/>
        <v>0</v>
      </c>
      <c r="N59" s="697"/>
      <c r="O59" s="12"/>
      <c r="P59" s="113"/>
      <c r="Q59" s="196"/>
      <c r="R59" s="201"/>
      <c r="S59" s="20"/>
    </row>
    <row r="60" spans="1:19" ht="12.75">
      <c r="A60" s="510">
        <f t="shared" si="6"/>
        <v>49</v>
      </c>
      <c r="B60" s="519" t="s">
        <v>265</v>
      </c>
      <c r="C60" s="515"/>
      <c r="D60" s="113"/>
      <c r="E60" s="192">
        <f t="shared" si="0"/>
        <v>0</v>
      </c>
      <c r="F60" s="200"/>
      <c r="G60" s="629">
        <v>4</v>
      </c>
      <c r="H60" s="566">
        <f t="shared" si="8"/>
        <v>12</v>
      </c>
      <c r="I60" s="627">
        <f t="shared" si="1"/>
        <v>17.413055999999997</v>
      </c>
      <c r="J60" s="200" t="s">
        <v>399</v>
      </c>
      <c r="K60" s="629"/>
      <c r="L60" s="623">
        <f t="shared" si="7"/>
        <v>0</v>
      </c>
      <c r="M60" s="627">
        <f t="shared" si="3"/>
        <v>0</v>
      </c>
      <c r="N60" s="697"/>
      <c r="O60" s="12"/>
      <c r="P60" s="113"/>
      <c r="Q60" s="196"/>
      <c r="R60" s="201"/>
      <c r="S60" s="20"/>
    </row>
    <row r="61" spans="1:19" ht="12.75">
      <c r="A61" s="510">
        <f t="shared" si="6"/>
        <v>50</v>
      </c>
      <c r="B61" s="519" t="s">
        <v>139</v>
      </c>
      <c r="C61" s="515">
        <v>4</v>
      </c>
      <c r="D61" s="113">
        <v>1</v>
      </c>
      <c r="E61" s="192">
        <f t="shared" si="0"/>
        <v>1.7860608</v>
      </c>
      <c r="F61" s="200" t="s">
        <v>550</v>
      </c>
      <c r="G61" s="629">
        <v>4</v>
      </c>
      <c r="H61" s="566">
        <f t="shared" si="8"/>
        <v>12</v>
      </c>
      <c r="I61" s="627">
        <f t="shared" si="1"/>
        <v>17.413055999999997</v>
      </c>
      <c r="J61" s="200" t="s">
        <v>399</v>
      </c>
      <c r="K61" s="629"/>
      <c r="L61" s="623">
        <f t="shared" si="7"/>
        <v>0</v>
      </c>
      <c r="M61" s="627">
        <f t="shared" si="3"/>
        <v>0</v>
      </c>
      <c r="N61" s="697"/>
      <c r="O61" s="12"/>
      <c r="P61" s="113"/>
      <c r="Q61" s="196"/>
      <c r="R61" s="201"/>
      <c r="S61" s="20"/>
    </row>
    <row r="62" spans="1:19" ht="12.75">
      <c r="A62" s="510">
        <f t="shared" si="6"/>
        <v>51</v>
      </c>
      <c r="B62" s="519" t="s">
        <v>262</v>
      </c>
      <c r="C62" s="515"/>
      <c r="D62" s="113"/>
      <c r="E62" s="192">
        <f t="shared" si="0"/>
        <v>0</v>
      </c>
      <c r="F62" s="200"/>
      <c r="G62" s="629">
        <v>2</v>
      </c>
      <c r="H62" s="566">
        <f t="shared" si="8"/>
        <v>6</v>
      </c>
      <c r="I62" s="627">
        <f t="shared" si="1"/>
        <v>8.706527999999999</v>
      </c>
      <c r="J62" s="200" t="s">
        <v>611</v>
      </c>
      <c r="K62" s="629"/>
      <c r="L62" s="623"/>
      <c r="M62" s="627">
        <f t="shared" si="3"/>
        <v>0</v>
      </c>
      <c r="N62" s="697"/>
      <c r="O62" s="12"/>
      <c r="P62" s="113"/>
      <c r="Q62" s="196"/>
      <c r="R62" s="201"/>
      <c r="S62" s="20"/>
    </row>
    <row r="63" spans="1:19" ht="12.75">
      <c r="A63" s="510">
        <f t="shared" si="6"/>
        <v>52</v>
      </c>
      <c r="B63" s="519" t="s">
        <v>261</v>
      </c>
      <c r="C63" s="515"/>
      <c r="D63" s="113"/>
      <c r="E63" s="192">
        <f t="shared" si="0"/>
        <v>0</v>
      </c>
      <c r="F63" s="200"/>
      <c r="G63" s="629">
        <v>1</v>
      </c>
      <c r="H63" s="566">
        <f>G63*5</f>
        <v>5</v>
      </c>
      <c r="I63" s="627">
        <f t="shared" si="1"/>
        <v>7.25544</v>
      </c>
      <c r="J63" s="200" t="s">
        <v>662</v>
      </c>
      <c r="K63" s="629"/>
      <c r="L63" s="623"/>
      <c r="M63" s="627">
        <f t="shared" si="3"/>
        <v>0</v>
      </c>
      <c r="N63" s="697"/>
      <c r="O63" s="12"/>
      <c r="P63" s="113"/>
      <c r="Q63" s="196"/>
      <c r="R63" s="201"/>
      <c r="S63" s="20"/>
    </row>
    <row r="64" spans="1:19" ht="12.75">
      <c r="A64" s="510">
        <f t="shared" si="6"/>
        <v>53</v>
      </c>
      <c r="B64" s="519" t="s">
        <v>260</v>
      </c>
      <c r="C64" s="515"/>
      <c r="D64" s="113"/>
      <c r="E64" s="192"/>
      <c r="F64" s="200"/>
      <c r="G64" s="629"/>
      <c r="H64" s="566"/>
      <c r="I64" s="627"/>
      <c r="J64" s="200"/>
      <c r="K64" s="629"/>
      <c r="L64" s="623"/>
      <c r="M64" s="627"/>
      <c r="N64" s="697"/>
      <c r="O64" s="12">
        <v>5</v>
      </c>
      <c r="P64" s="113">
        <v>13</v>
      </c>
      <c r="Q64" s="196">
        <f>1.748*P64</f>
        <v>22.724</v>
      </c>
      <c r="R64" s="201" t="s">
        <v>679</v>
      </c>
      <c r="S64" s="20"/>
    </row>
    <row r="65" spans="1:19" ht="12.75">
      <c r="A65" s="510">
        <f t="shared" si="6"/>
        <v>54</v>
      </c>
      <c r="B65" s="519" t="s">
        <v>260</v>
      </c>
      <c r="C65" s="515"/>
      <c r="D65" s="113"/>
      <c r="E65" s="192"/>
      <c r="F65" s="200"/>
      <c r="G65" s="629"/>
      <c r="H65" s="566"/>
      <c r="I65" s="627"/>
      <c r="J65" s="200"/>
      <c r="K65" s="629"/>
      <c r="L65" s="623"/>
      <c r="M65" s="627"/>
      <c r="N65" s="697"/>
      <c r="O65" s="12">
        <v>5</v>
      </c>
      <c r="P65" s="113">
        <v>15</v>
      </c>
      <c r="Q65" s="196">
        <f>1.748*P65</f>
        <v>26.22</v>
      </c>
      <c r="R65" s="201" t="s">
        <v>680</v>
      </c>
      <c r="S65" s="20"/>
    </row>
    <row r="66" spans="1:18" ht="12.75">
      <c r="A66" s="510">
        <f t="shared" si="6"/>
        <v>55</v>
      </c>
      <c r="B66" s="643" t="s">
        <v>438</v>
      </c>
      <c r="C66" s="644"/>
      <c r="D66" s="527"/>
      <c r="E66" s="192">
        <f t="shared" si="0"/>
        <v>0</v>
      </c>
      <c r="F66" s="645"/>
      <c r="G66" s="646"/>
      <c r="H66" s="566">
        <f t="shared" si="8"/>
        <v>0</v>
      </c>
      <c r="I66" s="627">
        <f t="shared" si="1"/>
        <v>0</v>
      </c>
      <c r="J66" s="645"/>
      <c r="K66" s="646">
        <v>1</v>
      </c>
      <c r="L66" s="623">
        <f aca="true" t="shared" si="9" ref="L66:L98">K66*2.5</f>
        <v>2.5</v>
      </c>
      <c r="M66" s="627">
        <f t="shared" si="3"/>
        <v>4.947875</v>
      </c>
      <c r="N66" s="698" t="s">
        <v>439</v>
      </c>
      <c r="O66" s="12"/>
      <c r="P66" s="113"/>
      <c r="Q66" s="647"/>
      <c r="R66" s="647"/>
    </row>
    <row r="67" spans="1:19" ht="12.75">
      <c r="A67" s="510">
        <f t="shared" si="6"/>
        <v>56</v>
      </c>
      <c r="B67" s="519" t="s">
        <v>163</v>
      </c>
      <c r="C67" s="515"/>
      <c r="D67" s="113"/>
      <c r="E67" s="192">
        <f t="shared" si="0"/>
        <v>0</v>
      </c>
      <c r="F67" s="200"/>
      <c r="G67" s="629">
        <v>2</v>
      </c>
      <c r="H67" s="566">
        <f t="shared" si="8"/>
        <v>6</v>
      </c>
      <c r="I67" s="627">
        <f t="shared" si="1"/>
        <v>8.706527999999999</v>
      </c>
      <c r="J67" s="200" t="s">
        <v>442</v>
      </c>
      <c r="K67" s="629"/>
      <c r="L67" s="623">
        <f t="shared" si="9"/>
        <v>0</v>
      </c>
      <c r="M67" s="627">
        <f t="shared" si="3"/>
        <v>0</v>
      </c>
      <c r="N67" s="697"/>
      <c r="O67" s="12"/>
      <c r="P67" s="113"/>
      <c r="Q67" s="196"/>
      <c r="R67" s="201"/>
      <c r="S67" s="20"/>
    </row>
    <row r="68" spans="1:19" ht="12.75">
      <c r="A68" s="510">
        <f t="shared" si="6"/>
        <v>57</v>
      </c>
      <c r="B68" s="519" t="s">
        <v>443</v>
      </c>
      <c r="C68" s="515"/>
      <c r="D68" s="113"/>
      <c r="E68" s="192"/>
      <c r="F68" s="200"/>
      <c r="G68" s="629"/>
      <c r="H68" s="566"/>
      <c r="I68" s="627"/>
      <c r="J68" s="200"/>
      <c r="K68" s="629"/>
      <c r="L68" s="623"/>
      <c r="M68" s="627"/>
      <c r="N68" s="697"/>
      <c r="O68" s="12">
        <v>1</v>
      </c>
      <c r="P68" s="113">
        <v>1.5</v>
      </c>
      <c r="Q68" s="196">
        <f>P68*5.1595</f>
        <v>7.73925</v>
      </c>
      <c r="R68" s="201" t="s">
        <v>678</v>
      </c>
      <c r="S68" s="20"/>
    </row>
    <row r="69" spans="1:19" ht="12.75">
      <c r="A69" s="510">
        <f t="shared" si="6"/>
        <v>58</v>
      </c>
      <c r="B69" s="519" t="s">
        <v>370</v>
      </c>
      <c r="C69" s="515"/>
      <c r="D69" s="113"/>
      <c r="E69" s="192">
        <f t="shared" si="0"/>
        <v>0</v>
      </c>
      <c r="F69" s="202"/>
      <c r="G69" s="629">
        <v>4</v>
      </c>
      <c r="H69" s="566">
        <f t="shared" si="8"/>
        <v>12</v>
      </c>
      <c r="I69" s="627">
        <f t="shared" si="1"/>
        <v>17.413055999999997</v>
      </c>
      <c r="J69" s="202"/>
      <c r="K69" s="629">
        <v>2</v>
      </c>
      <c r="L69" s="623">
        <f t="shared" si="9"/>
        <v>5</v>
      </c>
      <c r="M69" s="627">
        <f t="shared" si="3"/>
        <v>9.89575</v>
      </c>
      <c r="N69" s="697"/>
      <c r="O69" s="12"/>
      <c r="P69" s="113"/>
      <c r="Q69" s="196"/>
      <c r="R69" s="201"/>
      <c r="S69" s="20"/>
    </row>
    <row r="70" spans="1:19" ht="12.75">
      <c r="A70" s="510">
        <f t="shared" si="6"/>
        <v>59</v>
      </c>
      <c r="B70" s="519" t="s">
        <v>165</v>
      </c>
      <c r="C70" s="515">
        <v>1</v>
      </c>
      <c r="D70" s="113">
        <v>4</v>
      </c>
      <c r="E70" s="192">
        <f t="shared" si="0"/>
        <v>7.1442432</v>
      </c>
      <c r="F70" s="202"/>
      <c r="G70" s="629">
        <v>1</v>
      </c>
      <c r="H70" s="566">
        <f t="shared" si="8"/>
        <v>3</v>
      </c>
      <c r="I70" s="627">
        <f t="shared" si="1"/>
        <v>4.353263999999999</v>
      </c>
      <c r="J70" s="202" t="s">
        <v>403</v>
      </c>
      <c r="K70" s="629"/>
      <c r="L70" s="623">
        <f t="shared" si="9"/>
        <v>0</v>
      </c>
      <c r="M70" s="627">
        <f t="shared" si="3"/>
        <v>0</v>
      </c>
      <c r="N70" s="697"/>
      <c r="O70" s="12"/>
      <c r="P70" s="113"/>
      <c r="Q70" s="196"/>
      <c r="R70" s="201"/>
      <c r="S70" s="20"/>
    </row>
    <row r="71" spans="1:19" ht="12.75">
      <c r="A71" s="510">
        <f t="shared" si="6"/>
        <v>60</v>
      </c>
      <c r="B71" s="519" t="s">
        <v>107</v>
      </c>
      <c r="C71" s="515"/>
      <c r="D71" s="113"/>
      <c r="E71" s="192">
        <f t="shared" si="0"/>
        <v>0</v>
      </c>
      <c r="F71" s="200"/>
      <c r="G71" s="629">
        <v>1</v>
      </c>
      <c r="H71" s="566">
        <f t="shared" si="8"/>
        <v>3</v>
      </c>
      <c r="I71" s="627">
        <f t="shared" si="1"/>
        <v>4.353263999999999</v>
      </c>
      <c r="J71" s="200" t="s">
        <v>356</v>
      </c>
      <c r="K71" s="629"/>
      <c r="L71" s="623">
        <f t="shared" si="9"/>
        <v>0</v>
      </c>
      <c r="M71" s="627">
        <f t="shared" si="3"/>
        <v>0</v>
      </c>
      <c r="N71" s="697"/>
      <c r="O71" s="12"/>
      <c r="P71" s="113"/>
      <c r="Q71" s="196"/>
      <c r="R71" s="201"/>
      <c r="S71" s="20"/>
    </row>
    <row r="72" spans="1:19" ht="12.75">
      <c r="A72" s="510">
        <f t="shared" si="6"/>
        <v>61</v>
      </c>
      <c r="B72" s="519" t="s">
        <v>566</v>
      </c>
      <c r="C72" s="515"/>
      <c r="D72" s="113"/>
      <c r="E72" s="192">
        <f t="shared" si="0"/>
        <v>0</v>
      </c>
      <c r="F72" s="200"/>
      <c r="G72" s="629"/>
      <c r="H72" s="566">
        <f t="shared" si="8"/>
        <v>0</v>
      </c>
      <c r="I72" s="627">
        <f t="shared" si="1"/>
        <v>0</v>
      </c>
      <c r="J72" s="200"/>
      <c r="K72" s="629">
        <v>3</v>
      </c>
      <c r="L72" s="623">
        <f t="shared" si="9"/>
        <v>7.5</v>
      </c>
      <c r="M72" s="627">
        <f t="shared" si="3"/>
        <v>14.843625</v>
      </c>
      <c r="N72" s="697" t="s">
        <v>580</v>
      </c>
      <c r="O72" s="12"/>
      <c r="P72" s="113"/>
      <c r="Q72" s="196"/>
      <c r="R72" s="201"/>
      <c r="S72" s="20"/>
    </row>
    <row r="73" spans="1:19" ht="12.75">
      <c r="A73" s="510">
        <f t="shared" si="6"/>
        <v>62</v>
      </c>
      <c r="B73" s="519" t="s">
        <v>166</v>
      </c>
      <c r="C73" s="515"/>
      <c r="D73" s="113"/>
      <c r="E73" s="192">
        <f t="shared" si="0"/>
        <v>0</v>
      </c>
      <c r="F73" s="202"/>
      <c r="G73" s="629"/>
      <c r="H73" s="566">
        <f t="shared" si="8"/>
        <v>0</v>
      </c>
      <c r="I73" s="627">
        <f t="shared" si="1"/>
        <v>0</v>
      </c>
      <c r="J73" s="202"/>
      <c r="K73" s="629"/>
      <c r="L73" s="623">
        <f t="shared" si="9"/>
        <v>0</v>
      </c>
      <c r="M73" s="627">
        <f t="shared" si="3"/>
        <v>0</v>
      </c>
      <c r="N73" s="697"/>
      <c r="O73" s="12">
        <v>3</v>
      </c>
      <c r="P73" s="113">
        <v>1.5</v>
      </c>
      <c r="Q73" s="196">
        <f>875.03*P73/1000</f>
        <v>1.312545</v>
      </c>
      <c r="R73" s="201" t="s">
        <v>448</v>
      </c>
      <c r="S73" s="20"/>
    </row>
    <row r="74" spans="1:19" ht="12.75">
      <c r="A74" s="510">
        <f t="shared" si="6"/>
        <v>63</v>
      </c>
      <c r="B74" s="519" t="s">
        <v>561</v>
      </c>
      <c r="C74" s="515">
        <v>1</v>
      </c>
      <c r="D74" s="113">
        <v>1</v>
      </c>
      <c r="E74" s="192">
        <f t="shared" si="0"/>
        <v>1.7860608</v>
      </c>
      <c r="F74" s="200" t="s">
        <v>424</v>
      </c>
      <c r="G74" s="629">
        <v>1</v>
      </c>
      <c r="H74" s="566">
        <f t="shared" si="8"/>
        <v>3</v>
      </c>
      <c r="I74" s="627">
        <f t="shared" si="1"/>
        <v>4.353263999999999</v>
      </c>
      <c r="J74" s="200" t="s">
        <v>403</v>
      </c>
      <c r="K74" s="629"/>
      <c r="L74" s="623">
        <f t="shared" si="9"/>
        <v>0</v>
      </c>
      <c r="M74" s="627">
        <f t="shared" si="3"/>
        <v>0</v>
      </c>
      <c r="N74" s="697"/>
      <c r="O74" s="12"/>
      <c r="P74" s="113"/>
      <c r="Q74" s="196"/>
      <c r="R74" s="201"/>
      <c r="S74" s="20"/>
    </row>
    <row r="75" spans="1:19" ht="12.75">
      <c r="A75" s="510">
        <f t="shared" si="6"/>
        <v>64</v>
      </c>
      <c r="B75" s="519" t="s">
        <v>290</v>
      </c>
      <c r="C75" s="515"/>
      <c r="D75" s="113"/>
      <c r="E75" s="192">
        <f t="shared" si="0"/>
        <v>0</v>
      </c>
      <c r="F75" s="200"/>
      <c r="G75" s="629">
        <v>2</v>
      </c>
      <c r="H75" s="566">
        <f t="shared" si="8"/>
        <v>6</v>
      </c>
      <c r="I75" s="627">
        <f t="shared" si="1"/>
        <v>8.706527999999999</v>
      </c>
      <c r="J75" s="200" t="s">
        <v>453</v>
      </c>
      <c r="K75" s="629"/>
      <c r="L75" s="623">
        <f t="shared" si="9"/>
        <v>0</v>
      </c>
      <c r="M75" s="627">
        <f t="shared" si="3"/>
        <v>0</v>
      </c>
      <c r="N75" s="697"/>
      <c r="O75" s="12"/>
      <c r="P75" s="113"/>
      <c r="Q75" s="196"/>
      <c r="R75" s="201"/>
      <c r="S75" s="20"/>
    </row>
    <row r="76" spans="1:19" ht="12.75">
      <c r="A76" s="510">
        <f t="shared" si="6"/>
        <v>65</v>
      </c>
      <c r="B76" s="519" t="s">
        <v>433</v>
      </c>
      <c r="C76" s="515">
        <v>2</v>
      </c>
      <c r="D76" s="113">
        <v>24</v>
      </c>
      <c r="E76" s="192">
        <f t="shared" si="0"/>
        <v>42.865459200000004</v>
      </c>
      <c r="F76" s="202" t="s">
        <v>434</v>
      </c>
      <c r="G76" s="629"/>
      <c r="H76" s="566">
        <f t="shared" si="8"/>
        <v>0</v>
      </c>
      <c r="I76" s="627">
        <f t="shared" si="1"/>
        <v>0</v>
      </c>
      <c r="J76" s="200"/>
      <c r="K76" s="629"/>
      <c r="L76" s="623">
        <f t="shared" si="9"/>
        <v>0</v>
      </c>
      <c r="M76" s="627">
        <f t="shared" si="3"/>
        <v>0</v>
      </c>
      <c r="N76" s="697"/>
      <c r="O76" s="12"/>
      <c r="P76" s="113"/>
      <c r="Q76" s="196"/>
      <c r="R76" s="201"/>
      <c r="S76" s="20"/>
    </row>
    <row r="77" spans="1:19" ht="12.75">
      <c r="A77" s="510">
        <f t="shared" si="6"/>
        <v>66</v>
      </c>
      <c r="B77" s="519" t="s">
        <v>567</v>
      </c>
      <c r="C77" s="515"/>
      <c r="D77" s="113"/>
      <c r="E77" s="192">
        <f t="shared" si="0"/>
        <v>0</v>
      </c>
      <c r="F77" s="200"/>
      <c r="G77" s="629"/>
      <c r="H77" s="566">
        <f t="shared" si="8"/>
        <v>0</v>
      </c>
      <c r="I77" s="627">
        <f t="shared" si="1"/>
        <v>0</v>
      </c>
      <c r="J77" s="200"/>
      <c r="K77" s="629">
        <v>1</v>
      </c>
      <c r="L77" s="623">
        <f t="shared" si="9"/>
        <v>2.5</v>
      </c>
      <c r="M77" s="627">
        <f t="shared" si="3"/>
        <v>4.947875</v>
      </c>
      <c r="N77" s="697" t="s">
        <v>569</v>
      </c>
      <c r="O77" s="12"/>
      <c r="P77" s="113"/>
      <c r="Q77" s="196"/>
      <c r="R77" s="201"/>
      <c r="S77" s="20"/>
    </row>
    <row r="78" spans="1:19" ht="12.75">
      <c r="A78" s="510">
        <f t="shared" si="6"/>
        <v>67</v>
      </c>
      <c r="B78" s="519" t="s">
        <v>168</v>
      </c>
      <c r="C78" s="515"/>
      <c r="D78" s="113"/>
      <c r="E78" s="192">
        <f t="shared" si="0"/>
        <v>0</v>
      </c>
      <c r="F78" s="200"/>
      <c r="G78" s="629">
        <v>1</v>
      </c>
      <c r="H78" s="566">
        <f t="shared" si="8"/>
        <v>3</v>
      </c>
      <c r="I78" s="627">
        <f t="shared" si="1"/>
        <v>4.353263999999999</v>
      </c>
      <c r="J78" s="200"/>
      <c r="K78" s="629"/>
      <c r="L78" s="623">
        <f t="shared" si="9"/>
        <v>0</v>
      </c>
      <c r="M78" s="627">
        <f t="shared" si="3"/>
        <v>0</v>
      </c>
      <c r="N78" s="696"/>
      <c r="O78" s="12"/>
      <c r="P78" s="113"/>
      <c r="Q78" s="196"/>
      <c r="R78" s="201"/>
      <c r="S78" s="20"/>
    </row>
    <row r="79" spans="1:19" ht="12.75">
      <c r="A79" s="510">
        <f t="shared" si="6"/>
        <v>68</v>
      </c>
      <c r="B79" s="519" t="s">
        <v>109</v>
      </c>
      <c r="C79" s="515"/>
      <c r="D79" s="113"/>
      <c r="E79" s="192">
        <f aca="true" t="shared" si="10" ref="E79:E89">D79*1.7860608</f>
        <v>0</v>
      </c>
      <c r="F79" s="200"/>
      <c r="G79" s="629">
        <v>4</v>
      </c>
      <c r="H79" s="566">
        <f t="shared" si="8"/>
        <v>12</v>
      </c>
      <c r="I79" s="627">
        <f aca="true" t="shared" si="11" ref="I79:I97">1.451088*H79</f>
        <v>17.413055999999997</v>
      </c>
      <c r="J79" s="200" t="s">
        <v>399</v>
      </c>
      <c r="K79" s="629"/>
      <c r="L79" s="623">
        <f t="shared" si="9"/>
        <v>0</v>
      </c>
      <c r="M79" s="627">
        <f aca="true" t="shared" si="12" ref="M79:M91">L79*1.97915</f>
        <v>0</v>
      </c>
      <c r="N79" s="697"/>
      <c r="O79" s="12"/>
      <c r="P79" s="113"/>
      <c r="Q79" s="196"/>
      <c r="R79" s="201"/>
      <c r="S79" s="20"/>
    </row>
    <row r="80" spans="1:19" ht="12.75">
      <c r="A80" s="510">
        <f t="shared" si="6"/>
        <v>69</v>
      </c>
      <c r="B80" s="519" t="s">
        <v>169</v>
      </c>
      <c r="C80" s="515">
        <v>3</v>
      </c>
      <c r="D80" s="113">
        <v>7.5</v>
      </c>
      <c r="E80" s="192">
        <f t="shared" si="10"/>
        <v>13.395456</v>
      </c>
      <c r="F80" s="200" t="s">
        <v>468</v>
      </c>
      <c r="G80" s="629"/>
      <c r="H80" s="566">
        <f t="shared" si="8"/>
        <v>0</v>
      </c>
      <c r="I80" s="627">
        <f t="shared" si="11"/>
        <v>0</v>
      </c>
      <c r="J80" s="200"/>
      <c r="K80" s="629">
        <v>4</v>
      </c>
      <c r="L80" s="623">
        <f t="shared" si="9"/>
        <v>10</v>
      </c>
      <c r="M80" s="627">
        <f t="shared" si="12"/>
        <v>19.7915</v>
      </c>
      <c r="N80" s="697" t="s">
        <v>469</v>
      </c>
      <c r="O80" s="12"/>
      <c r="P80" s="113"/>
      <c r="Q80" s="196"/>
      <c r="R80" s="201"/>
      <c r="S80" s="20"/>
    </row>
    <row r="81" spans="1:19" ht="12.75">
      <c r="A81" s="510">
        <f t="shared" si="6"/>
        <v>70</v>
      </c>
      <c r="B81" s="519" t="s">
        <v>170</v>
      </c>
      <c r="C81" s="515"/>
      <c r="D81" s="113"/>
      <c r="E81" s="192">
        <f t="shared" si="10"/>
        <v>0</v>
      </c>
      <c r="F81" s="200"/>
      <c r="G81" s="629">
        <v>4</v>
      </c>
      <c r="H81" s="566">
        <f t="shared" si="8"/>
        <v>12</v>
      </c>
      <c r="I81" s="627">
        <f t="shared" si="11"/>
        <v>17.413055999999997</v>
      </c>
      <c r="J81" s="200" t="s">
        <v>399</v>
      </c>
      <c r="K81" s="629"/>
      <c r="L81" s="623">
        <f t="shared" si="9"/>
        <v>0</v>
      </c>
      <c r="M81" s="627">
        <f t="shared" si="12"/>
        <v>0</v>
      </c>
      <c r="N81" s="697"/>
      <c r="O81" s="12"/>
      <c r="P81" s="113"/>
      <c r="Q81" s="196"/>
      <c r="R81" s="201"/>
      <c r="S81" s="20"/>
    </row>
    <row r="82" spans="1:19" ht="12.75">
      <c r="A82" s="510">
        <f t="shared" si="6"/>
        <v>71</v>
      </c>
      <c r="B82" s="519" t="s">
        <v>33</v>
      </c>
      <c r="C82" s="515"/>
      <c r="D82" s="113"/>
      <c r="E82" s="192">
        <f t="shared" si="10"/>
        <v>0</v>
      </c>
      <c r="F82" s="200"/>
      <c r="G82" s="629">
        <v>8</v>
      </c>
      <c r="H82" s="566">
        <f t="shared" si="8"/>
        <v>24</v>
      </c>
      <c r="I82" s="627">
        <f t="shared" si="11"/>
        <v>34.826111999999995</v>
      </c>
      <c r="J82" s="200" t="s">
        <v>399</v>
      </c>
      <c r="K82" s="629"/>
      <c r="L82" s="623">
        <f t="shared" si="9"/>
        <v>0</v>
      </c>
      <c r="M82" s="627">
        <f t="shared" si="12"/>
        <v>0</v>
      </c>
      <c r="N82" s="697"/>
      <c r="O82" s="12"/>
      <c r="P82" s="113"/>
      <c r="Q82" s="196"/>
      <c r="R82" s="201"/>
      <c r="S82" s="20"/>
    </row>
    <row r="83" spans="1:19" ht="12.75">
      <c r="A83" s="510">
        <f t="shared" si="6"/>
        <v>72</v>
      </c>
      <c r="B83" s="519" t="s">
        <v>91</v>
      </c>
      <c r="C83" s="515"/>
      <c r="D83" s="113"/>
      <c r="E83" s="192">
        <f t="shared" si="10"/>
        <v>0</v>
      </c>
      <c r="F83" s="200"/>
      <c r="G83" s="629">
        <v>1</v>
      </c>
      <c r="H83" s="566">
        <f t="shared" si="8"/>
        <v>3</v>
      </c>
      <c r="I83" s="627">
        <f t="shared" si="11"/>
        <v>4.353263999999999</v>
      </c>
      <c r="J83" s="200" t="s">
        <v>424</v>
      </c>
      <c r="K83" s="629"/>
      <c r="L83" s="623">
        <f t="shared" si="9"/>
        <v>0</v>
      </c>
      <c r="M83" s="627">
        <f t="shared" si="12"/>
        <v>0</v>
      </c>
      <c r="N83" s="697"/>
      <c r="O83" s="12"/>
      <c r="P83" s="113"/>
      <c r="Q83" s="196"/>
      <c r="R83" s="201"/>
      <c r="S83" s="20"/>
    </row>
    <row r="84" spans="1:19" ht="12.75">
      <c r="A84" s="510">
        <f t="shared" si="6"/>
        <v>73</v>
      </c>
      <c r="B84" s="519" t="s">
        <v>570</v>
      </c>
      <c r="C84" s="515"/>
      <c r="D84" s="113"/>
      <c r="E84" s="192">
        <f t="shared" si="10"/>
        <v>0</v>
      </c>
      <c r="F84" s="200"/>
      <c r="G84" s="629">
        <v>2</v>
      </c>
      <c r="H84" s="566">
        <f t="shared" si="8"/>
        <v>6</v>
      </c>
      <c r="I84" s="627">
        <f t="shared" si="11"/>
        <v>8.706527999999999</v>
      </c>
      <c r="J84" s="200"/>
      <c r="K84" s="629"/>
      <c r="L84" s="623">
        <f t="shared" si="9"/>
        <v>0</v>
      </c>
      <c r="M84" s="627">
        <f t="shared" si="12"/>
        <v>0</v>
      </c>
      <c r="N84" s="697"/>
      <c r="O84" s="12"/>
      <c r="P84" s="113"/>
      <c r="Q84" s="196"/>
      <c r="R84" s="201"/>
      <c r="S84" s="20"/>
    </row>
    <row r="85" spans="1:19" ht="12.75">
      <c r="A85" s="510">
        <f t="shared" si="6"/>
        <v>74</v>
      </c>
      <c r="B85" s="519" t="s">
        <v>247</v>
      </c>
      <c r="C85" s="515">
        <v>1</v>
      </c>
      <c r="D85" s="113">
        <v>2.5</v>
      </c>
      <c r="E85" s="192">
        <f t="shared" si="10"/>
        <v>4.465152</v>
      </c>
      <c r="F85" s="200" t="s">
        <v>159</v>
      </c>
      <c r="G85" s="629"/>
      <c r="H85" s="566">
        <f t="shared" si="8"/>
        <v>0</v>
      </c>
      <c r="I85" s="627">
        <f t="shared" si="11"/>
        <v>0</v>
      </c>
      <c r="J85" s="200"/>
      <c r="K85" s="629"/>
      <c r="L85" s="623">
        <f t="shared" si="9"/>
        <v>0</v>
      </c>
      <c r="M85" s="627">
        <f t="shared" si="12"/>
        <v>0</v>
      </c>
      <c r="N85" s="697"/>
      <c r="O85" s="12"/>
      <c r="P85" s="113"/>
      <c r="Q85" s="196"/>
      <c r="R85" s="201"/>
      <c r="S85" s="20"/>
    </row>
    <row r="86" spans="1:19" ht="12.75">
      <c r="A86" s="510">
        <f t="shared" si="6"/>
        <v>75</v>
      </c>
      <c r="B86" s="519" t="s">
        <v>171</v>
      </c>
      <c r="C86" s="515"/>
      <c r="D86" s="113"/>
      <c r="E86" s="192">
        <f t="shared" si="10"/>
        <v>0</v>
      </c>
      <c r="F86" s="200"/>
      <c r="G86" s="629"/>
      <c r="H86" s="566">
        <f t="shared" si="8"/>
        <v>0</v>
      </c>
      <c r="I86" s="627">
        <f t="shared" si="11"/>
        <v>0</v>
      </c>
      <c r="J86" s="200"/>
      <c r="K86" s="629">
        <v>1</v>
      </c>
      <c r="L86" s="623">
        <f t="shared" si="9"/>
        <v>2.5</v>
      </c>
      <c r="M86" s="627">
        <f t="shared" si="12"/>
        <v>4.947875</v>
      </c>
      <c r="N86" s="697" t="s">
        <v>464</v>
      </c>
      <c r="O86" s="12"/>
      <c r="P86" s="113"/>
      <c r="Q86" s="196"/>
      <c r="R86" s="201"/>
      <c r="S86" s="20"/>
    </row>
    <row r="87" spans="1:19" ht="12.75">
      <c r="A87" s="510">
        <f t="shared" si="6"/>
        <v>76</v>
      </c>
      <c r="B87" s="519" t="s">
        <v>310</v>
      </c>
      <c r="C87" s="515"/>
      <c r="D87" s="113"/>
      <c r="E87" s="192">
        <f t="shared" si="10"/>
        <v>0</v>
      </c>
      <c r="F87" s="200"/>
      <c r="G87" s="629">
        <v>6</v>
      </c>
      <c r="H87" s="566">
        <f t="shared" si="8"/>
        <v>18</v>
      </c>
      <c r="I87" s="627">
        <f t="shared" si="11"/>
        <v>26.119584</v>
      </c>
      <c r="J87" s="200" t="s">
        <v>399</v>
      </c>
      <c r="K87" s="629"/>
      <c r="L87" s="623">
        <f t="shared" si="9"/>
        <v>0</v>
      </c>
      <c r="M87" s="627">
        <f t="shared" si="12"/>
        <v>0</v>
      </c>
      <c r="N87" s="697"/>
      <c r="O87" s="12"/>
      <c r="P87" s="113"/>
      <c r="Q87" s="196"/>
      <c r="R87" s="201"/>
      <c r="S87" s="20"/>
    </row>
    <row r="88" spans="1:19" ht="12.75">
      <c r="A88" s="510">
        <f t="shared" si="6"/>
        <v>77</v>
      </c>
      <c r="B88" s="519" t="s">
        <v>397</v>
      </c>
      <c r="C88" s="515"/>
      <c r="D88" s="113"/>
      <c r="E88" s="192">
        <f t="shared" si="10"/>
        <v>0</v>
      </c>
      <c r="F88" s="200"/>
      <c r="G88" s="629">
        <v>4</v>
      </c>
      <c r="H88" s="566">
        <f t="shared" si="8"/>
        <v>12</v>
      </c>
      <c r="I88" s="627">
        <f t="shared" si="11"/>
        <v>17.413055999999997</v>
      </c>
      <c r="J88" s="200" t="s">
        <v>399</v>
      </c>
      <c r="K88" s="629"/>
      <c r="L88" s="623">
        <f t="shared" si="9"/>
        <v>0</v>
      </c>
      <c r="M88" s="627">
        <f t="shared" si="12"/>
        <v>0</v>
      </c>
      <c r="N88" s="697"/>
      <c r="O88" s="12"/>
      <c r="P88" s="113"/>
      <c r="Q88" s="196"/>
      <c r="R88" s="201"/>
      <c r="S88" s="20"/>
    </row>
    <row r="89" spans="1:19" ht="12.75">
      <c r="A89" s="510">
        <f t="shared" si="6"/>
        <v>78</v>
      </c>
      <c r="B89" s="519" t="s">
        <v>398</v>
      </c>
      <c r="C89" s="515"/>
      <c r="D89" s="113"/>
      <c r="E89" s="192">
        <f t="shared" si="10"/>
        <v>0</v>
      </c>
      <c r="F89" s="200"/>
      <c r="G89" s="629">
        <v>6</v>
      </c>
      <c r="H89" s="566">
        <f t="shared" si="8"/>
        <v>18</v>
      </c>
      <c r="I89" s="627">
        <f t="shared" si="11"/>
        <v>26.119584</v>
      </c>
      <c r="J89" s="200" t="s">
        <v>399</v>
      </c>
      <c r="K89" s="629"/>
      <c r="L89" s="623">
        <f t="shared" si="9"/>
        <v>0</v>
      </c>
      <c r="M89" s="627">
        <f t="shared" si="12"/>
        <v>0</v>
      </c>
      <c r="N89" s="697"/>
      <c r="O89" s="12">
        <v>6</v>
      </c>
      <c r="P89" s="113">
        <v>15.6</v>
      </c>
      <c r="Q89" s="196">
        <f>1.748*P89</f>
        <v>27.2688</v>
      </c>
      <c r="R89" s="201" t="s">
        <v>681</v>
      </c>
      <c r="S89" s="20"/>
    </row>
    <row r="90" spans="1:19" ht="14.25" customHeight="1">
      <c r="A90" s="510">
        <f t="shared" si="6"/>
        <v>79</v>
      </c>
      <c r="B90" s="519" t="s">
        <v>401</v>
      </c>
      <c r="C90" s="515">
        <v>5</v>
      </c>
      <c r="D90" s="113">
        <v>34</v>
      </c>
      <c r="E90" s="192">
        <f>D90*1.7860608</f>
        <v>60.7260672</v>
      </c>
      <c r="F90" s="200" t="s">
        <v>402</v>
      </c>
      <c r="G90" s="629">
        <v>5</v>
      </c>
      <c r="H90" s="566">
        <f aca="true" t="shared" si="13" ref="H90:H121">G90*3</f>
        <v>15</v>
      </c>
      <c r="I90" s="627">
        <f t="shared" si="11"/>
        <v>21.76632</v>
      </c>
      <c r="J90" s="200" t="s">
        <v>402</v>
      </c>
      <c r="K90" s="629"/>
      <c r="L90" s="623">
        <f t="shared" si="9"/>
        <v>0</v>
      </c>
      <c r="M90" s="627">
        <f t="shared" si="12"/>
        <v>0</v>
      </c>
      <c r="N90" s="697"/>
      <c r="O90" s="12"/>
      <c r="P90" s="113"/>
      <c r="Q90" s="196"/>
      <c r="R90" s="201"/>
      <c r="S90" s="20"/>
    </row>
    <row r="91" spans="1:19" ht="14.25" customHeight="1">
      <c r="A91" s="510">
        <f t="shared" si="6"/>
        <v>80</v>
      </c>
      <c r="B91" s="519" t="s">
        <v>92</v>
      </c>
      <c r="C91" s="515"/>
      <c r="D91" s="113"/>
      <c r="E91" s="192">
        <f aca="true" t="shared" si="14" ref="E91:E130">D91*1.7860608</f>
        <v>0</v>
      </c>
      <c r="F91" s="202"/>
      <c r="G91" s="629">
        <v>4</v>
      </c>
      <c r="H91" s="566">
        <f t="shared" si="13"/>
        <v>12</v>
      </c>
      <c r="I91" s="627">
        <f t="shared" si="11"/>
        <v>17.413055999999997</v>
      </c>
      <c r="J91" s="202" t="s">
        <v>399</v>
      </c>
      <c r="K91" s="629"/>
      <c r="L91" s="623">
        <f t="shared" si="9"/>
        <v>0</v>
      </c>
      <c r="M91" s="627">
        <f t="shared" si="12"/>
        <v>0</v>
      </c>
      <c r="N91" s="697"/>
      <c r="O91" s="12"/>
      <c r="P91" s="113"/>
      <c r="Q91" s="196"/>
      <c r="R91" s="201"/>
      <c r="S91" s="20"/>
    </row>
    <row r="92" spans="1:19" ht="14.25" customHeight="1">
      <c r="A92" s="510">
        <f t="shared" si="6"/>
        <v>81</v>
      </c>
      <c r="B92" s="519" t="s">
        <v>283</v>
      </c>
      <c r="C92" s="515"/>
      <c r="D92" s="113"/>
      <c r="E92" s="192">
        <f t="shared" si="14"/>
        <v>0</v>
      </c>
      <c r="F92" s="200"/>
      <c r="G92" s="629"/>
      <c r="H92" s="566">
        <f t="shared" si="13"/>
        <v>0</v>
      </c>
      <c r="I92" s="627">
        <f t="shared" si="11"/>
        <v>0</v>
      </c>
      <c r="J92" s="200"/>
      <c r="K92" s="629">
        <v>2</v>
      </c>
      <c r="L92" s="623">
        <f t="shared" si="9"/>
        <v>5</v>
      </c>
      <c r="M92" s="627">
        <f>L92*1.97915</f>
        <v>9.89575</v>
      </c>
      <c r="N92" s="697" t="s">
        <v>460</v>
      </c>
      <c r="O92" s="12"/>
      <c r="P92" s="113"/>
      <c r="Q92" s="196"/>
      <c r="R92" s="203"/>
      <c r="S92" s="20"/>
    </row>
    <row r="93" spans="1:19" ht="12.75">
      <c r="A93" s="510">
        <f t="shared" si="6"/>
        <v>82</v>
      </c>
      <c r="B93" s="519" t="s">
        <v>461</v>
      </c>
      <c r="C93" s="515">
        <v>3</v>
      </c>
      <c r="D93" s="113">
        <v>6</v>
      </c>
      <c r="E93" s="192">
        <f t="shared" si="14"/>
        <v>10.716364800000001</v>
      </c>
      <c r="F93" s="200"/>
      <c r="G93" s="629">
        <v>1</v>
      </c>
      <c r="H93" s="566">
        <f t="shared" si="13"/>
        <v>3</v>
      </c>
      <c r="I93" s="627">
        <f t="shared" si="11"/>
        <v>4.353263999999999</v>
      </c>
      <c r="J93" s="202" t="s">
        <v>404</v>
      </c>
      <c r="K93" s="629"/>
      <c r="L93" s="623">
        <f t="shared" si="9"/>
        <v>0</v>
      </c>
      <c r="M93" s="627">
        <f aca="true" t="shared" si="15" ref="M93:M97">L93*1.97915</f>
        <v>0</v>
      </c>
      <c r="N93" s="697"/>
      <c r="O93" s="12"/>
      <c r="P93" s="113"/>
      <c r="Q93" s="196"/>
      <c r="R93" s="201"/>
      <c r="S93" s="20"/>
    </row>
    <row r="94" spans="1:19" ht="12.75">
      <c r="A94" s="510">
        <f t="shared" si="6"/>
        <v>83</v>
      </c>
      <c r="B94" s="519" t="s">
        <v>175</v>
      </c>
      <c r="C94" s="515">
        <v>5</v>
      </c>
      <c r="D94" s="113">
        <v>3</v>
      </c>
      <c r="E94" s="192">
        <f t="shared" si="14"/>
        <v>5.3581824000000005</v>
      </c>
      <c r="F94" s="200" t="s">
        <v>458</v>
      </c>
      <c r="G94" s="629">
        <v>5</v>
      </c>
      <c r="H94" s="566">
        <f t="shared" si="13"/>
        <v>15</v>
      </c>
      <c r="I94" s="627">
        <f t="shared" si="11"/>
        <v>21.76632</v>
      </c>
      <c r="J94" s="200" t="s">
        <v>399</v>
      </c>
      <c r="K94" s="629"/>
      <c r="L94" s="623">
        <f t="shared" si="9"/>
        <v>0</v>
      </c>
      <c r="M94" s="627">
        <f t="shared" si="15"/>
        <v>0</v>
      </c>
      <c r="N94" s="697"/>
      <c r="O94" s="12"/>
      <c r="P94" s="113"/>
      <c r="Q94" s="196"/>
      <c r="R94" s="201"/>
      <c r="S94" s="20"/>
    </row>
    <row r="95" spans="1:19" ht="12.75">
      <c r="A95" s="510">
        <f aca="true" t="shared" si="16" ref="A95:A130">A94+1</f>
        <v>84</v>
      </c>
      <c r="B95" s="519" t="s">
        <v>471</v>
      </c>
      <c r="C95" s="515"/>
      <c r="D95" s="113"/>
      <c r="E95" s="192">
        <f t="shared" si="14"/>
        <v>0</v>
      </c>
      <c r="F95" s="200"/>
      <c r="G95" s="629">
        <v>3</v>
      </c>
      <c r="H95" s="566">
        <f t="shared" si="13"/>
        <v>9</v>
      </c>
      <c r="I95" s="627">
        <f t="shared" si="11"/>
        <v>13.059792</v>
      </c>
      <c r="J95" s="200" t="s">
        <v>472</v>
      </c>
      <c r="K95" s="629"/>
      <c r="L95" s="623">
        <f t="shared" si="9"/>
        <v>0</v>
      </c>
      <c r="M95" s="627">
        <f t="shared" si="15"/>
        <v>0</v>
      </c>
      <c r="N95" s="697"/>
      <c r="O95" s="12"/>
      <c r="P95" s="113"/>
      <c r="Q95" s="196"/>
      <c r="R95" s="201"/>
      <c r="S95" s="20"/>
    </row>
    <row r="96" spans="1:19" ht="12.75">
      <c r="A96" s="510">
        <f t="shared" si="16"/>
        <v>85</v>
      </c>
      <c r="B96" s="519" t="s">
        <v>473</v>
      </c>
      <c r="C96" s="515"/>
      <c r="D96" s="113"/>
      <c r="E96" s="192">
        <f t="shared" si="14"/>
        <v>0</v>
      </c>
      <c r="F96" s="200"/>
      <c r="G96" s="629">
        <v>8</v>
      </c>
      <c r="H96" s="566">
        <f t="shared" si="13"/>
        <v>24</v>
      </c>
      <c r="I96" s="627">
        <f t="shared" si="11"/>
        <v>34.826111999999995</v>
      </c>
      <c r="J96" s="200" t="s">
        <v>399</v>
      </c>
      <c r="K96" s="629"/>
      <c r="L96" s="623">
        <f t="shared" si="9"/>
        <v>0</v>
      </c>
      <c r="M96" s="627">
        <f t="shared" si="15"/>
        <v>0</v>
      </c>
      <c r="N96" s="697"/>
      <c r="O96" s="12"/>
      <c r="P96" s="113"/>
      <c r="Q96" s="196"/>
      <c r="R96" s="201"/>
      <c r="S96" s="20"/>
    </row>
    <row r="97" spans="1:19" ht="13.5" thickBot="1">
      <c r="A97" s="510">
        <f t="shared" si="16"/>
        <v>86</v>
      </c>
      <c r="B97" s="519" t="s">
        <v>436</v>
      </c>
      <c r="C97" s="515"/>
      <c r="D97" s="113"/>
      <c r="E97" s="192">
        <f t="shared" si="14"/>
        <v>0</v>
      </c>
      <c r="F97" s="202"/>
      <c r="G97" s="629">
        <v>6</v>
      </c>
      <c r="H97" s="566">
        <f t="shared" si="13"/>
        <v>18</v>
      </c>
      <c r="I97" s="627">
        <f t="shared" si="11"/>
        <v>26.119584</v>
      </c>
      <c r="J97" s="202" t="s">
        <v>399</v>
      </c>
      <c r="K97" s="629"/>
      <c r="L97" s="623">
        <f t="shared" si="9"/>
        <v>0</v>
      </c>
      <c r="M97" s="627">
        <f t="shared" si="15"/>
        <v>0</v>
      </c>
      <c r="N97" s="697"/>
      <c r="O97" s="12"/>
      <c r="P97" s="113"/>
      <c r="Q97" s="196"/>
      <c r="R97" s="201"/>
      <c r="S97" s="20"/>
    </row>
    <row r="98" spans="1:19" ht="15.75" customHeight="1" hidden="1">
      <c r="A98" s="510">
        <f t="shared" si="16"/>
        <v>87</v>
      </c>
      <c r="B98" s="519"/>
      <c r="C98" s="515"/>
      <c r="D98" s="113"/>
      <c r="E98" s="192">
        <f t="shared" si="14"/>
        <v>0</v>
      </c>
      <c r="F98" s="200"/>
      <c r="G98" s="629"/>
      <c r="H98" s="566">
        <f t="shared" si="13"/>
        <v>0</v>
      </c>
      <c r="I98" s="627">
        <f aca="true" t="shared" si="17" ref="I98:I111">1.317027*H98</f>
        <v>0</v>
      </c>
      <c r="J98" s="202"/>
      <c r="K98" s="629"/>
      <c r="L98" s="623">
        <f t="shared" si="9"/>
        <v>0</v>
      </c>
      <c r="M98" s="627">
        <f aca="true" t="shared" si="18" ref="M98">L98*1.83315</f>
        <v>0</v>
      </c>
      <c r="N98" s="699"/>
      <c r="O98" s="12"/>
      <c r="P98" s="113"/>
      <c r="Q98" s="196"/>
      <c r="R98" s="201"/>
      <c r="S98" s="20"/>
    </row>
    <row r="99" spans="1:19" ht="12.75" hidden="1">
      <c r="A99" s="510">
        <f t="shared" si="16"/>
        <v>88</v>
      </c>
      <c r="B99" s="519"/>
      <c r="C99" s="515"/>
      <c r="D99" s="113"/>
      <c r="E99" s="192">
        <f t="shared" si="14"/>
        <v>0</v>
      </c>
      <c r="F99" s="202"/>
      <c r="G99" s="629"/>
      <c r="H99" s="566">
        <f t="shared" si="13"/>
        <v>0</v>
      </c>
      <c r="I99" s="627">
        <f t="shared" si="17"/>
        <v>0</v>
      </c>
      <c r="J99" s="200"/>
      <c r="K99" s="629"/>
      <c r="L99" s="623">
        <f aca="true" t="shared" si="19" ref="L99:L130">K99*2.5</f>
        <v>0</v>
      </c>
      <c r="M99" s="627">
        <f aca="true" t="shared" si="20" ref="M99:M130">L99*1.83315</f>
        <v>0</v>
      </c>
      <c r="N99" s="696"/>
      <c r="O99" s="12"/>
      <c r="P99" s="113"/>
      <c r="Q99" s="196"/>
      <c r="R99" s="201"/>
      <c r="S99" s="20"/>
    </row>
    <row r="100" spans="1:19" ht="12.75" hidden="1">
      <c r="A100" s="510">
        <f t="shared" si="16"/>
        <v>89</v>
      </c>
      <c r="B100" s="519"/>
      <c r="C100" s="515"/>
      <c r="D100" s="113"/>
      <c r="E100" s="192">
        <f t="shared" si="14"/>
        <v>0</v>
      </c>
      <c r="F100" s="202"/>
      <c r="G100" s="629"/>
      <c r="H100" s="566">
        <f t="shared" si="13"/>
        <v>0</v>
      </c>
      <c r="I100" s="627">
        <f t="shared" si="17"/>
        <v>0</v>
      </c>
      <c r="J100" s="200"/>
      <c r="K100" s="629"/>
      <c r="L100" s="623">
        <f t="shared" si="19"/>
        <v>0</v>
      </c>
      <c r="M100" s="627">
        <f t="shared" si="20"/>
        <v>0</v>
      </c>
      <c r="N100" s="697"/>
      <c r="O100" s="12"/>
      <c r="P100" s="113"/>
      <c r="Q100" s="196"/>
      <c r="R100" s="201"/>
      <c r="S100" s="20"/>
    </row>
    <row r="101" spans="1:19" ht="12.75" hidden="1">
      <c r="A101" s="510">
        <f t="shared" si="16"/>
        <v>90</v>
      </c>
      <c r="B101" s="519"/>
      <c r="C101" s="515"/>
      <c r="D101" s="113"/>
      <c r="E101" s="192">
        <f t="shared" si="14"/>
        <v>0</v>
      </c>
      <c r="F101" s="202"/>
      <c r="G101" s="629"/>
      <c r="H101" s="566">
        <f t="shared" si="13"/>
        <v>0</v>
      </c>
      <c r="I101" s="627">
        <f t="shared" si="17"/>
        <v>0</v>
      </c>
      <c r="J101" s="202"/>
      <c r="K101" s="629"/>
      <c r="L101" s="623">
        <f t="shared" si="19"/>
        <v>0</v>
      </c>
      <c r="M101" s="627">
        <f t="shared" si="20"/>
        <v>0</v>
      </c>
      <c r="N101" s="697"/>
      <c r="O101" s="12"/>
      <c r="P101" s="113"/>
      <c r="Q101" s="196"/>
      <c r="R101" s="203"/>
      <c r="S101" s="20"/>
    </row>
    <row r="102" spans="1:19" ht="12.75" hidden="1">
      <c r="A102" s="510">
        <f t="shared" si="16"/>
        <v>91</v>
      </c>
      <c r="B102" s="519"/>
      <c r="C102" s="515"/>
      <c r="D102" s="113"/>
      <c r="E102" s="192">
        <f t="shared" si="14"/>
        <v>0</v>
      </c>
      <c r="F102" s="200"/>
      <c r="G102" s="629"/>
      <c r="H102" s="566">
        <f t="shared" si="13"/>
        <v>0</v>
      </c>
      <c r="I102" s="627">
        <f t="shared" si="17"/>
        <v>0</v>
      </c>
      <c r="J102" s="202"/>
      <c r="K102" s="629"/>
      <c r="L102" s="623">
        <f t="shared" si="19"/>
        <v>0</v>
      </c>
      <c r="M102" s="627">
        <f t="shared" si="20"/>
        <v>0</v>
      </c>
      <c r="N102" s="697"/>
      <c r="O102" s="12"/>
      <c r="P102" s="113"/>
      <c r="Q102" s="196"/>
      <c r="R102" s="201"/>
      <c r="S102" s="20"/>
    </row>
    <row r="103" spans="1:19" ht="19.5" customHeight="1" hidden="1">
      <c r="A103" s="510">
        <f t="shared" si="16"/>
        <v>92</v>
      </c>
      <c r="B103" s="519"/>
      <c r="C103" s="515"/>
      <c r="D103" s="113"/>
      <c r="E103" s="192">
        <f t="shared" si="14"/>
        <v>0</v>
      </c>
      <c r="F103" s="200"/>
      <c r="G103" s="629"/>
      <c r="H103" s="566">
        <f t="shared" si="13"/>
        <v>0</v>
      </c>
      <c r="I103" s="627">
        <f t="shared" si="17"/>
        <v>0</v>
      </c>
      <c r="J103" s="202"/>
      <c r="K103" s="629"/>
      <c r="L103" s="623">
        <f t="shared" si="19"/>
        <v>0</v>
      </c>
      <c r="M103" s="627">
        <f t="shared" si="20"/>
        <v>0</v>
      </c>
      <c r="N103" s="697"/>
      <c r="O103" s="12"/>
      <c r="P103" s="113"/>
      <c r="Q103" s="196">
        <f>P103*6.945</f>
        <v>0</v>
      </c>
      <c r="R103" s="214"/>
      <c r="S103" s="20"/>
    </row>
    <row r="104" spans="1:19" ht="12.75" hidden="1">
      <c r="A104" s="510">
        <f t="shared" si="16"/>
        <v>93</v>
      </c>
      <c r="B104" s="519"/>
      <c r="C104" s="515"/>
      <c r="D104" s="113"/>
      <c r="E104" s="192">
        <f t="shared" si="14"/>
        <v>0</v>
      </c>
      <c r="F104" s="200"/>
      <c r="G104" s="629"/>
      <c r="H104" s="566">
        <f t="shared" si="13"/>
        <v>0</v>
      </c>
      <c r="I104" s="627">
        <f t="shared" si="17"/>
        <v>0</v>
      </c>
      <c r="J104" s="200"/>
      <c r="K104" s="629"/>
      <c r="L104" s="623">
        <f t="shared" si="19"/>
        <v>0</v>
      </c>
      <c r="M104" s="627">
        <f t="shared" si="20"/>
        <v>0</v>
      </c>
      <c r="N104" s="697"/>
      <c r="O104" s="12"/>
      <c r="P104" s="113"/>
      <c r="Q104" s="196"/>
      <c r="R104" s="201"/>
      <c r="S104" s="20"/>
    </row>
    <row r="105" spans="1:19" ht="12.75" hidden="1">
      <c r="A105" s="510">
        <f t="shared" si="16"/>
        <v>94</v>
      </c>
      <c r="B105" s="519"/>
      <c r="C105" s="515"/>
      <c r="D105" s="113"/>
      <c r="E105" s="192">
        <f t="shared" si="14"/>
        <v>0</v>
      </c>
      <c r="F105" s="200"/>
      <c r="G105" s="629"/>
      <c r="H105" s="566">
        <f t="shared" si="13"/>
        <v>0</v>
      </c>
      <c r="I105" s="627">
        <f t="shared" si="17"/>
        <v>0</v>
      </c>
      <c r="J105" s="201"/>
      <c r="K105" s="629"/>
      <c r="L105" s="623">
        <f t="shared" si="19"/>
        <v>0</v>
      </c>
      <c r="M105" s="627">
        <f t="shared" si="20"/>
        <v>0</v>
      </c>
      <c r="N105" s="696"/>
      <c r="O105" s="12"/>
      <c r="P105" s="113"/>
      <c r="Q105" s="196"/>
      <c r="R105" s="201"/>
      <c r="S105" s="20"/>
    </row>
    <row r="106" spans="1:19" ht="12.75" hidden="1">
      <c r="A106" s="510">
        <f t="shared" si="16"/>
        <v>95</v>
      </c>
      <c r="B106" s="519"/>
      <c r="C106" s="515"/>
      <c r="D106" s="113"/>
      <c r="E106" s="192">
        <f t="shared" si="14"/>
        <v>0</v>
      </c>
      <c r="F106" s="200"/>
      <c r="G106" s="629"/>
      <c r="H106" s="566">
        <f t="shared" si="13"/>
        <v>0</v>
      </c>
      <c r="I106" s="627">
        <f t="shared" si="17"/>
        <v>0</v>
      </c>
      <c r="J106" s="200"/>
      <c r="K106" s="629"/>
      <c r="L106" s="623">
        <f t="shared" si="19"/>
        <v>0</v>
      </c>
      <c r="M106" s="627">
        <f t="shared" si="20"/>
        <v>0</v>
      </c>
      <c r="N106" s="697"/>
      <c r="O106" s="12"/>
      <c r="P106" s="113"/>
      <c r="Q106" s="196"/>
      <c r="R106" s="201"/>
      <c r="S106" s="20"/>
    </row>
    <row r="107" spans="1:19" ht="12.75" hidden="1">
      <c r="A107" s="510">
        <f t="shared" si="16"/>
        <v>96</v>
      </c>
      <c r="B107" s="519"/>
      <c r="C107" s="515"/>
      <c r="D107" s="113"/>
      <c r="E107" s="192">
        <f t="shared" si="14"/>
        <v>0</v>
      </c>
      <c r="F107" s="200"/>
      <c r="G107" s="629"/>
      <c r="H107" s="566">
        <f t="shared" si="13"/>
        <v>0</v>
      </c>
      <c r="I107" s="627">
        <f t="shared" si="17"/>
        <v>0</v>
      </c>
      <c r="J107" s="200"/>
      <c r="K107" s="629"/>
      <c r="L107" s="623">
        <f t="shared" si="19"/>
        <v>0</v>
      </c>
      <c r="M107" s="627">
        <f t="shared" si="20"/>
        <v>0</v>
      </c>
      <c r="N107" s="697"/>
      <c r="O107" s="12"/>
      <c r="P107" s="113"/>
      <c r="Q107" s="196"/>
      <c r="R107" s="201"/>
      <c r="S107" s="20"/>
    </row>
    <row r="108" spans="1:19" ht="12.75" hidden="1">
      <c r="A108" s="510">
        <f t="shared" si="16"/>
        <v>97</v>
      </c>
      <c r="B108" s="519"/>
      <c r="C108" s="515"/>
      <c r="D108" s="113"/>
      <c r="E108" s="192">
        <f t="shared" si="14"/>
        <v>0</v>
      </c>
      <c r="F108" s="200"/>
      <c r="G108" s="629"/>
      <c r="H108" s="566">
        <f t="shared" si="13"/>
        <v>0</v>
      </c>
      <c r="I108" s="627">
        <f t="shared" si="17"/>
        <v>0</v>
      </c>
      <c r="J108" s="200"/>
      <c r="K108" s="629"/>
      <c r="L108" s="623">
        <f t="shared" si="19"/>
        <v>0</v>
      </c>
      <c r="M108" s="627">
        <f t="shared" si="20"/>
        <v>0</v>
      </c>
      <c r="N108" s="697"/>
      <c r="O108" s="12"/>
      <c r="P108" s="113"/>
      <c r="Q108" s="196"/>
      <c r="R108" s="201"/>
      <c r="S108" s="20"/>
    </row>
    <row r="109" spans="1:19" ht="12.75" hidden="1">
      <c r="A109" s="510">
        <f t="shared" si="16"/>
        <v>98</v>
      </c>
      <c r="B109" s="519"/>
      <c r="C109" s="515"/>
      <c r="D109" s="113"/>
      <c r="E109" s="192">
        <f t="shared" si="14"/>
        <v>0</v>
      </c>
      <c r="F109" s="200"/>
      <c r="G109" s="629"/>
      <c r="H109" s="566">
        <f t="shared" si="13"/>
        <v>0</v>
      </c>
      <c r="I109" s="627">
        <f t="shared" si="17"/>
        <v>0</v>
      </c>
      <c r="J109" s="200"/>
      <c r="K109" s="629"/>
      <c r="L109" s="623">
        <f t="shared" si="19"/>
        <v>0</v>
      </c>
      <c r="M109" s="627">
        <f t="shared" si="20"/>
        <v>0</v>
      </c>
      <c r="N109" s="697"/>
      <c r="O109" s="12"/>
      <c r="P109" s="113"/>
      <c r="Q109" s="196"/>
      <c r="R109" s="201"/>
      <c r="S109" s="20"/>
    </row>
    <row r="110" spans="1:19" ht="12.75" hidden="1">
      <c r="A110" s="510">
        <f t="shared" si="16"/>
        <v>99</v>
      </c>
      <c r="B110" s="519"/>
      <c r="C110" s="515"/>
      <c r="D110" s="113"/>
      <c r="E110" s="192">
        <f t="shared" si="14"/>
        <v>0</v>
      </c>
      <c r="F110" s="200"/>
      <c r="G110" s="629"/>
      <c r="H110" s="566">
        <f t="shared" si="13"/>
        <v>0</v>
      </c>
      <c r="I110" s="627">
        <f t="shared" si="17"/>
        <v>0</v>
      </c>
      <c r="J110" s="202"/>
      <c r="K110" s="629"/>
      <c r="L110" s="623">
        <f t="shared" si="19"/>
        <v>0</v>
      </c>
      <c r="M110" s="627">
        <f t="shared" si="20"/>
        <v>0</v>
      </c>
      <c r="N110" s="696"/>
      <c r="O110" s="12"/>
      <c r="P110" s="113"/>
      <c r="Q110" s="196"/>
      <c r="R110" s="201"/>
      <c r="S110" s="20"/>
    </row>
    <row r="111" spans="1:19" ht="12.75" hidden="1">
      <c r="A111" s="510">
        <f t="shared" si="16"/>
        <v>100</v>
      </c>
      <c r="B111" s="519"/>
      <c r="C111" s="515"/>
      <c r="D111" s="113"/>
      <c r="E111" s="192">
        <f t="shared" si="14"/>
        <v>0</v>
      </c>
      <c r="F111" s="200"/>
      <c r="G111" s="629"/>
      <c r="H111" s="566">
        <f t="shared" si="13"/>
        <v>0</v>
      </c>
      <c r="I111" s="627">
        <f t="shared" si="17"/>
        <v>0</v>
      </c>
      <c r="J111" s="202"/>
      <c r="K111" s="629"/>
      <c r="L111" s="623">
        <f t="shared" si="19"/>
        <v>0</v>
      </c>
      <c r="M111" s="627">
        <f t="shared" si="20"/>
        <v>0</v>
      </c>
      <c r="N111" s="697"/>
      <c r="O111" s="12"/>
      <c r="P111" s="113"/>
      <c r="Q111" s="196"/>
      <c r="R111" s="201"/>
      <c r="S111" s="20"/>
    </row>
    <row r="112" spans="1:19" ht="12.75" hidden="1">
      <c r="A112" s="510">
        <f t="shared" si="16"/>
        <v>101</v>
      </c>
      <c r="B112" s="519"/>
      <c r="C112" s="515"/>
      <c r="D112" s="113"/>
      <c r="E112" s="192">
        <f t="shared" si="14"/>
        <v>0</v>
      </c>
      <c r="F112" s="205"/>
      <c r="G112" s="629"/>
      <c r="H112" s="566">
        <f t="shared" si="13"/>
        <v>0</v>
      </c>
      <c r="I112" s="627">
        <f aca="true" t="shared" si="21" ref="I112:I130">1.317027*H112</f>
        <v>0</v>
      </c>
      <c r="J112" s="202"/>
      <c r="K112" s="629"/>
      <c r="L112" s="623">
        <f t="shared" si="19"/>
        <v>0</v>
      </c>
      <c r="M112" s="627">
        <f t="shared" si="20"/>
        <v>0</v>
      </c>
      <c r="N112" s="696"/>
      <c r="O112" s="12"/>
      <c r="P112" s="113"/>
      <c r="Q112" s="196"/>
      <c r="R112" s="201"/>
      <c r="S112" s="20"/>
    </row>
    <row r="113" spans="1:19" ht="12.75" hidden="1">
      <c r="A113" s="510">
        <f t="shared" si="16"/>
        <v>102</v>
      </c>
      <c r="B113" s="519"/>
      <c r="C113" s="515"/>
      <c r="D113" s="113"/>
      <c r="E113" s="192">
        <f t="shared" si="14"/>
        <v>0</v>
      </c>
      <c r="F113" s="200"/>
      <c r="G113" s="629"/>
      <c r="H113" s="566">
        <f t="shared" si="13"/>
        <v>0</v>
      </c>
      <c r="I113" s="627">
        <f t="shared" si="21"/>
        <v>0</v>
      </c>
      <c r="J113" s="202"/>
      <c r="K113" s="629"/>
      <c r="L113" s="623">
        <f t="shared" si="19"/>
        <v>0</v>
      </c>
      <c r="M113" s="627">
        <f t="shared" si="20"/>
        <v>0</v>
      </c>
      <c r="N113" s="697"/>
      <c r="O113" s="12"/>
      <c r="P113" s="113"/>
      <c r="Q113" s="196"/>
      <c r="R113" s="201"/>
      <c r="S113" s="20"/>
    </row>
    <row r="114" spans="1:21" ht="12.75" hidden="1">
      <c r="A114" s="510">
        <f t="shared" si="16"/>
        <v>103</v>
      </c>
      <c r="B114" s="519"/>
      <c r="C114" s="515"/>
      <c r="D114" s="113"/>
      <c r="E114" s="192">
        <f t="shared" si="14"/>
        <v>0</v>
      </c>
      <c r="F114" s="200"/>
      <c r="G114" s="629"/>
      <c r="H114" s="566">
        <f t="shared" si="13"/>
        <v>0</v>
      </c>
      <c r="I114" s="627">
        <f t="shared" si="21"/>
        <v>0</v>
      </c>
      <c r="J114" s="200"/>
      <c r="K114" s="629"/>
      <c r="L114" s="623">
        <f t="shared" si="19"/>
        <v>0</v>
      </c>
      <c r="M114" s="627">
        <f t="shared" si="20"/>
        <v>0</v>
      </c>
      <c r="N114" s="697"/>
      <c r="O114" s="12"/>
      <c r="P114" s="113"/>
      <c r="Q114" s="196"/>
      <c r="R114" s="201"/>
      <c r="S114" s="20"/>
      <c r="U114" s="27"/>
    </row>
    <row r="115" spans="1:19" ht="12.75" hidden="1">
      <c r="A115" s="510">
        <f t="shared" si="16"/>
        <v>104</v>
      </c>
      <c r="B115" s="519"/>
      <c r="C115" s="516"/>
      <c r="D115" s="198"/>
      <c r="E115" s="192">
        <f t="shared" si="14"/>
        <v>0</v>
      </c>
      <c r="F115" s="198"/>
      <c r="G115" s="629"/>
      <c r="H115" s="566">
        <f t="shared" si="13"/>
        <v>0</v>
      </c>
      <c r="I115" s="627">
        <f t="shared" si="21"/>
        <v>0</v>
      </c>
      <c r="J115" s="200"/>
      <c r="K115" s="629"/>
      <c r="L115" s="623">
        <f t="shared" si="19"/>
        <v>0</v>
      </c>
      <c r="M115" s="627">
        <f t="shared" si="20"/>
        <v>0</v>
      </c>
      <c r="N115" s="697"/>
      <c r="O115" s="12"/>
      <c r="P115" s="113"/>
      <c r="Q115" s="196"/>
      <c r="R115" s="201"/>
      <c r="S115" s="20"/>
    </row>
    <row r="116" spans="1:19" ht="14.25" customHeight="1" hidden="1">
      <c r="A116" s="510">
        <f t="shared" si="16"/>
        <v>105</v>
      </c>
      <c r="B116" s="519"/>
      <c r="C116" s="515"/>
      <c r="D116" s="113"/>
      <c r="E116" s="192">
        <f t="shared" si="14"/>
        <v>0</v>
      </c>
      <c r="F116" s="200"/>
      <c r="G116" s="629"/>
      <c r="H116" s="566">
        <f t="shared" si="13"/>
        <v>0</v>
      </c>
      <c r="I116" s="627">
        <f t="shared" si="21"/>
        <v>0</v>
      </c>
      <c r="J116" s="205"/>
      <c r="K116" s="629"/>
      <c r="L116" s="623">
        <f t="shared" si="19"/>
        <v>0</v>
      </c>
      <c r="M116" s="627">
        <f t="shared" si="20"/>
        <v>0</v>
      </c>
      <c r="N116" s="697"/>
      <c r="O116" s="12"/>
      <c r="P116" s="113"/>
      <c r="Q116" s="196"/>
      <c r="R116" s="201"/>
      <c r="S116" s="20"/>
    </row>
    <row r="117" spans="1:19" ht="12.75" hidden="1">
      <c r="A117" s="510">
        <f t="shared" si="16"/>
        <v>106</v>
      </c>
      <c r="B117" s="519"/>
      <c r="C117" s="515"/>
      <c r="D117" s="113"/>
      <c r="E117" s="192">
        <f t="shared" si="14"/>
        <v>0</v>
      </c>
      <c r="F117" s="200"/>
      <c r="G117" s="629"/>
      <c r="H117" s="566">
        <f t="shared" si="13"/>
        <v>0</v>
      </c>
      <c r="I117" s="627">
        <f t="shared" si="21"/>
        <v>0</v>
      </c>
      <c r="J117" s="202"/>
      <c r="K117" s="629"/>
      <c r="L117" s="623">
        <f t="shared" si="19"/>
        <v>0</v>
      </c>
      <c r="M117" s="627">
        <f t="shared" si="20"/>
        <v>0</v>
      </c>
      <c r="N117" s="697"/>
      <c r="O117" s="12"/>
      <c r="P117" s="113"/>
      <c r="Q117" s="196"/>
      <c r="R117" s="201"/>
      <c r="S117" s="20"/>
    </row>
    <row r="118" spans="1:21" ht="12.75" hidden="1">
      <c r="A118" s="510">
        <f t="shared" si="16"/>
        <v>107</v>
      </c>
      <c r="B118" s="519"/>
      <c r="C118" s="515"/>
      <c r="D118" s="113"/>
      <c r="E118" s="192">
        <f t="shared" si="14"/>
        <v>0</v>
      </c>
      <c r="F118" s="202"/>
      <c r="G118" s="629"/>
      <c r="H118" s="566">
        <f t="shared" si="13"/>
        <v>0</v>
      </c>
      <c r="I118" s="627">
        <f t="shared" si="21"/>
        <v>0</v>
      </c>
      <c r="J118" s="202"/>
      <c r="K118" s="629"/>
      <c r="L118" s="623">
        <f t="shared" si="19"/>
        <v>0</v>
      </c>
      <c r="M118" s="627">
        <f t="shared" si="20"/>
        <v>0</v>
      </c>
      <c r="N118" s="697"/>
      <c r="O118" s="12"/>
      <c r="P118" s="113"/>
      <c r="Q118" s="196"/>
      <c r="R118" s="201"/>
      <c r="S118" s="20"/>
      <c r="U118" s="90"/>
    </row>
    <row r="119" spans="1:21" ht="12.75" hidden="1">
      <c r="A119" s="510">
        <f t="shared" si="16"/>
        <v>108</v>
      </c>
      <c r="B119" s="519"/>
      <c r="C119" s="515"/>
      <c r="D119" s="113"/>
      <c r="E119" s="192">
        <f t="shared" si="14"/>
        <v>0</v>
      </c>
      <c r="F119" s="200"/>
      <c r="G119" s="629"/>
      <c r="H119" s="566">
        <f t="shared" si="13"/>
        <v>0</v>
      </c>
      <c r="I119" s="627">
        <f t="shared" si="21"/>
        <v>0</v>
      </c>
      <c r="J119" s="202"/>
      <c r="K119" s="629"/>
      <c r="L119" s="623">
        <f t="shared" si="19"/>
        <v>0</v>
      </c>
      <c r="M119" s="627">
        <f t="shared" si="20"/>
        <v>0</v>
      </c>
      <c r="N119" s="697"/>
      <c r="O119" s="12"/>
      <c r="P119" s="113"/>
      <c r="Q119" s="196"/>
      <c r="R119" s="201"/>
      <c r="S119" s="20"/>
      <c r="U119" s="206"/>
    </row>
    <row r="120" spans="1:21" ht="12.75" hidden="1">
      <c r="A120" s="510">
        <f t="shared" si="16"/>
        <v>109</v>
      </c>
      <c r="B120" s="519"/>
      <c r="C120" s="515"/>
      <c r="D120" s="113"/>
      <c r="E120" s="192">
        <f t="shared" si="14"/>
        <v>0</v>
      </c>
      <c r="F120" s="200"/>
      <c r="G120" s="629"/>
      <c r="H120" s="566">
        <f t="shared" si="13"/>
        <v>0</v>
      </c>
      <c r="I120" s="627">
        <f t="shared" si="21"/>
        <v>0</v>
      </c>
      <c r="J120" s="202"/>
      <c r="K120" s="629"/>
      <c r="L120" s="623">
        <f t="shared" si="19"/>
        <v>0</v>
      </c>
      <c r="M120" s="627">
        <f t="shared" si="20"/>
        <v>0</v>
      </c>
      <c r="N120" s="697"/>
      <c r="O120" s="12"/>
      <c r="P120" s="113"/>
      <c r="Q120" s="196"/>
      <c r="R120" s="201"/>
      <c r="S120" s="20"/>
      <c r="U120" s="206"/>
    </row>
    <row r="121" spans="1:19" ht="12.75" hidden="1">
      <c r="A121" s="510">
        <f t="shared" si="16"/>
        <v>110</v>
      </c>
      <c r="B121" s="519"/>
      <c r="C121" s="515"/>
      <c r="D121" s="113"/>
      <c r="E121" s="192">
        <f t="shared" si="14"/>
        <v>0</v>
      </c>
      <c r="F121" s="200"/>
      <c r="G121" s="629"/>
      <c r="H121" s="566">
        <f t="shared" si="13"/>
        <v>0</v>
      </c>
      <c r="I121" s="627">
        <f t="shared" si="21"/>
        <v>0</v>
      </c>
      <c r="J121" s="202"/>
      <c r="K121" s="629"/>
      <c r="L121" s="623">
        <f t="shared" si="19"/>
        <v>0</v>
      </c>
      <c r="M121" s="627">
        <f t="shared" si="20"/>
        <v>0</v>
      </c>
      <c r="N121" s="697"/>
      <c r="O121" s="12"/>
      <c r="P121" s="113"/>
      <c r="Q121" s="196"/>
      <c r="R121" s="201"/>
      <c r="S121" s="20"/>
    </row>
    <row r="122" spans="1:21" ht="12.75" hidden="1">
      <c r="A122" s="510">
        <f t="shared" si="16"/>
        <v>111</v>
      </c>
      <c r="B122" s="519"/>
      <c r="C122" s="515"/>
      <c r="D122" s="113"/>
      <c r="E122" s="192">
        <f t="shared" si="14"/>
        <v>0</v>
      </c>
      <c r="F122" s="202"/>
      <c r="G122" s="629"/>
      <c r="H122" s="566">
        <f aca="true" t="shared" si="22" ref="H122:H130">G122*3</f>
        <v>0</v>
      </c>
      <c r="I122" s="627">
        <f t="shared" si="21"/>
        <v>0</v>
      </c>
      <c r="J122" s="202"/>
      <c r="K122" s="629"/>
      <c r="L122" s="623">
        <f t="shared" si="19"/>
        <v>0</v>
      </c>
      <c r="M122" s="627">
        <f t="shared" si="20"/>
        <v>0</v>
      </c>
      <c r="N122" s="697"/>
      <c r="O122" s="12"/>
      <c r="P122" s="113"/>
      <c r="Q122" s="196"/>
      <c r="R122" s="201"/>
      <c r="S122" s="20"/>
      <c r="U122" s="207"/>
    </row>
    <row r="123" spans="1:21" ht="12.75" hidden="1">
      <c r="A123" s="510">
        <f t="shared" si="16"/>
        <v>112</v>
      </c>
      <c r="B123" s="519"/>
      <c r="C123" s="515"/>
      <c r="D123" s="113"/>
      <c r="E123" s="192">
        <f t="shared" si="14"/>
        <v>0</v>
      </c>
      <c r="F123" s="200"/>
      <c r="G123" s="629"/>
      <c r="H123" s="566">
        <f t="shared" si="22"/>
        <v>0</v>
      </c>
      <c r="I123" s="627">
        <f t="shared" si="21"/>
        <v>0</v>
      </c>
      <c r="J123" s="202"/>
      <c r="K123" s="629"/>
      <c r="L123" s="623">
        <f t="shared" si="19"/>
        <v>0</v>
      </c>
      <c r="M123" s="627">
        <f t="shared" si="20"/>
        <v>0</v>
      </c>
      <c r="N123" s="697"/>
      <c r="O123" s="12"/>
      <c r="P123" s="113"/>
      <c r="Q123" s="196"/>
      <c r="R123" s="201"/>
      <c r="S123" s="20"/>
      <c r="U123" s="208"/>
    </row>
    <row r="124" spans="1:19" ht="12.75" hidden="1">
      <c r="A124" s="510">
        <f t="shared" si="16"/>
        <v>113</v>
      </c>
      <c r="B124" s="519"/>
      <c r="C124" s="515"/>
      <c r="D124" s="113"/>
      <c r="E124" s="192">
        <f t="shared" si="14"/>
        <v>0</v>
      </c>
      <c r="F124" s="200"/>
      <c r="G124" s="629"/>
      <c r="H124" s="566">
        <f t="shared" si="22"/>
        <v>0</v>
      </c>
      <c r="I124" s="627">
        <f t="shared" si="21"/>
        <v>0</v>
      </c>
      <c r="J124" s="200"/>
      <c r="K124" s="629"/>
      <c r="L124" s="623">
        <f t="shared" si="19"/>
        <v>0</v>
      </c>
      <c r="M124" s="627">
        <f t="shared" si="20"/>
        <v>0</v>
      </c>
      <c r="N124" s="697"/>
      <c r="O124" s="12"/>
      <c r="P124" s="113"/>
      <c r="Q124" s="196"/>
      <c r="R124" s="201"/>
      <c r="S124" s="20"/>
    </row>
    <row r="125" spans="1:19" ht="15.75" hidden="1">
      <c r="A125" s="510">
        <f t="shared" si="16"/>
        <v>114</v>
      </c>
      <c r="B125" s="519"/>
      <c r="C125" s="515"/>
      <c r="D125" s="113"/>
      <c r="E125" s="192">
        <f t="shared" si="14"/>
        <v>0</v>
      </c>
      <c r="F125" s="200"/>
      <c r="G125" s="629"/>
      <c r="H125" s="566">
        <f t="shared" si="22"/>
        <v>0</v>
      </c>
      <c r="I125" s="627">
        <f t="shared" si="21"/>
        <v>0</v>
      </c>
      <c r="J125" s="202"/>
      <c r="K125" s="633"/>
      <c r="L125" s="623">
        <f t="shared" si="19"/>
        <v>0</v>
      </c>
      <c r="M125" s="627">
        <f t="shared" si="20"/>
        <v>0</v>
      </c>
      <c r="N125" s="688"/>
      <c r="O125" s="12"/>
      <c r="P125" s="113"/>
      <c r="Q125" s="196"/>
      <c r="R125" s="201"/>
      <c r="S125" s="20"/>
    </row>
    <row r="126" spans="1:19" ht="15.75" hidden="1">
      <c r="A126" s="510">
        <f t="shared" si="16"/>
        <v>115</v>
      </c>
      <c r="B126" s="519"/>
      <c r="C126" s="515"/>
      <c r="D126" s="113"/>
      <c r="E126" s="192">
        <f t="shared" si="14"/>
        <v>0</v>
      </c>
      <c r="F126" s="200"/>
      <c r="G126" s="629"/>
      <c r="H126" s="566">
        <f t="shared" si="22"/>
        <v>0</v>
      </c>
      <c r="I126" s="627">
        <f t="shared" si="21"/>
        <v>0</v>
      </c>
      <c r="J126" s="202"/>
      <c r="K126" s="633"/>
      <c r="L126" s="623">
        <f t="shared" si="19"/>
        <v>0</v>
      </c>
      <c r="M126" s="627">
        <f t="shared" si="20"/>
        <v>0</v>
      </c>
      <c r="N126" s="688"/>
      <c r="O126" s="12"/>
      <c r="P126" s="113"/>
      <c r="Q126" s="196"/>
      <c r="R126" s="201"/>
      <c r="S126" s="20"/>
    </row>
    <row r="127" spans="1:19" ht="15.75" hidden="1">
      <c r="A127" s="510">
        <f t="shared" si="16"/>
        <v>116</v>
      </c>
      <c r="B127" s="519"/>
      <c r="C127" s="515"/>
      <c r="D127" s="113"/>
      <c r="E127" s="192">
        <f t="shared" si="14"/>
        <v>0</v>
      </c>
      <c r="F127" s="200"/>
      <c r="G127" s="629"/>
      <c r="H127" s="566">
        <f t="shared" si="22"/>
        <v>0</v>
      </c>
      <c r="I127" s="627">
        <f t="shared" si="21"/>
        <v>0</v>
      </c>
      <c r="J127" s="202"/>
      <c r="K127" s="633"/>
      <c r="L127" s="623">
        <f t="shared" si="19"/>
        <v>0</v>
      </c>
      <c r="M127" s="627">
        <f t="shared" si="20"/>
        <v>0</v>
      </c>
      <c r="N127" s="688"/>
      <c r="O127" s="12"/>
      <c r="P127" s="113"/>
      <c r="Q127" s="196"/>
      <c r="R127" s="201"/>
      <c r="S127" s="20"/>
    </row>
    <row r="128" spans="1:19" ht="15.75" hidden="1">
      <c r="A128" s="510">
        <f t="shared" si="16"/>
        <v>117</v>
      </c>
      <c r="B128" s="519"/>
      <c r="C128" s="515"/>
      <c r="D128" s="113"/>
      <c r="E128" s="192">
        <f t="shared" si="14"/>
        <v>0</v>
      </c>
      <c r="F128" s="200"/>
      <c r="G128" s="629"/>
      <c r="H128" s="566">
        <f t="shared" si="22"/>
        <v>0</v>
      </c>
      <c r="I128" s="627">
        <f t="shared" si="21"/>
        <v>0</v>
      </c>
      <c r="J128" s="202"/>
      <c r="K128" s="633"/>
      <c r="L128" s="623">
        <f t="shared" si="19"/>
        <v>0</v>
      </c>
      <c r="M128" s="627">
        <f t="shared" si="20"/>
        <v>0</v>
      </c>
      <c r="N128" s="688"/>
      <c r="O128" s="12"/>
      <c r="P128" s="113"/>
      <c r="Q128" s="196"/>
      <c r="R128" s="201"/>
      <c r="S128" s="20"/>
    </row>
    <row r="129" spans="1:19" ht="12.75" hidden="1">
      <c r="A129" s="510">
        <f t="shared" si="16"/>
        <v>118</v>
      </c>
      <c r="B129" s="519"/>
      <c r="C129" s="515"/>
      <c r="D129" s="113"/>
      <c r="E129" s="192">
        <f t="shared" si="14"/>
        <v>0</v>
      </c>
      <c r="F129" s="200"/>
      <c r="G129" s="629"/>
      <c r="H129" s="566">
        <f t="shared" si="22"/>
        <v>0</v>
      </c>
      <c r="I129" s="627">
        <f t="shared" si="21"/>
        <v>0</v>
      </c>
      <c r="J129" s="202"/>
      <c r="K129" s="629"/>
      <c r="L129" s="623">
        <f t="shared" si="19"/>
        <v>0</v>
      </c>
      <c r="M129" s="627">
        <f t="shared" si="20"/>
        <v>0</v>
      </c>
      <c r="N129" s="697"/>
      <c r="O129" s="12"/>
      <c r="P129" s="113"/>
      <c r="Q129" s="196"/>
      <c r="R129" s="201"/>
      <c r="S129" s="20"/>
    </row>
    <row r="130" spans="1:19" ht="13.5" hidden="1" thickBot="1">
      <c r="A130" s="510">
        <f t="shared" si="16"/>
        <v>119</v>
      </c>
      <c r="B130" s="519"/>
      <c r="C130" s="515"/>
      <c r="D130" s="113"/>
      <c r="E130" s="192">
        <f t="shared" si="14"/>
        <v>0</v>
      </c>
      <c r="F130" s="205"/>
      <c r="G130" s="629"/>
      <c r="H130" s="566">
        <f t="shared" si="22"/>
        <v>0</v>
      </c>
      <c r="I130" s="627">
        <f t="shared" si="21"/>
        <v>0</v>
      </c>
      <c r="J130" s="202"/>
      <c r="K130" s="629"/>
      <c r="L130" s="623">
        <f t="shared" si="19"/>
        <v>0</v>
      </c>
      <c r="M130" s="627">
        <f t="shared" si="20"/>
        <v>0</v>
      </c>
      <c r="N130" s="696"/>
      <c r="O130" s="12"/>
      <c r="P130" s="113"/>
      <c r="Q130" s="196"/>
      <c r="R130" s="201"/>
      <c r="S130" s="20"/>
    </row>
    <row r="131" spans="1:22" ht="15.75" customHeight="1" thickBot="1">
      <c r="A131" s="511"/>
      <c r="B131" s="520" t="s">
        <v>176</v>
      </c>
      <c r="C131" s="517">
        <f>SUM(C13:C130)</f>
        <v>88</v>
      </c>
      <c r="D131" s="8">
        <f>SUM(D13:D130)</f>
        <v>267</v>
      </c>
      <c r="E131" s="210">
        <f>SUM(E13:E130)</f>
        <v>476.87823359999976</v>
      </c>
      <c r="F131" s="3"/>
      <c r="G131" s="630">
        <f>SUM(G13:G130)</f>
        <v>129</v>
      </c>
      <c r="H131" s="631">
        <f>SUM(H13:H130)</f>
        <v>392.5</v>
      </c>
      <c r="I131" s="632">
        <f>SUM(I13:I130)</f>
        <v>569.55204</v>
      </c>
      <c r="J131" s="211"/>
      <c r="K131" s="630">
        <f>SUM(K13:K130)</f>
        <v>54</v>
      </c>
      <c r="L131" s="631">
        <f>SUM(L13:L130)</f>
        <v>135</v>
      </c>
      <c r="M131" s="632">
        <f>SUM(M13:M130)</f>
        <v>267.18525000000005</v>
      </c>
      <c r="N131" s="700"/>
      <c r="O131" s="824">
        <f>SUM(O13:O130)</f>
        <v>22</v>
      </c>
      <c r="P131" s="8">
        <f>SUM(P13:P130)</f>
        <v>48</v>
      </c>
      <c r="Q131" s="210">
        <f>SUM(Q12:Q130)</f>
        <v>91.18893299999999</v>
      </c>
      <c r="R131" s="777">
        <f>SUM(R13:R130)</f>
        <v>0</v>
      </c>
      <c r="S131" s="20"/>
      <c r="V131" s="90"/>
    </row>
    <row r="132" spans="1:18" ht="21" customHeight="1" thickBot="1">
      <c r="A132" s="4"/>
      <c r="B132" s="521" t="s">
        <v>177</v>
      </c>
      <c r="C132" s="522"/>
      <c r="D132" s="523">
        <f>(D131+H131+L131+P131)/1000</f>
        <v>0.8425</v>
      </c>
      <c r="E132" s="524">
        <f>E131+I131+M131+Q131</f>
        <v>1404.8044565999996</v>
      </c>
      <c r="F132" s="541"/>
      <c r="G132" s="542"/>
      <c r="H132" s="542"/>
      <c r="I132" s="542"/>
      <c r="J132" s="542"/>
      <c r="K132" s="542"/>
      <c r="L132" s="542"/>
      <c r="M132" s="542"/>
      <c r="N132" s="542"/>
      <c r="O132" s="542"/>
      <c r="P132" s="542"/>
      <c r="Q132" s="543"/>
      <c r="R132" s="543"/>
    </row>
    <row r="133" spans="1:17" ht="12.75">
      <c r="A133" s="116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</row>
    <row r="134" spans="1:17" ht="12.75">
      <c r="A134" s="116"/>
      <c r="B134" s="57" t="s">
        <v>37</v>
      </c>
      <c r="C134" s="57"/>
      <c r="D134" s="212"/>
      <c r="E134" s="57"/>
      <c r="F134" s="57"/>
      <c r="G134" s="57"/>
      <c r="H134" s="57"/>
      <c r="I134" s="57" t="s">
        <v>143</v>
      </c>
      <c r="J134" s="57"/>
      <c r="K134" s="57"/>
      <c r="L134" s="57"/>
      <c r="M134" s="57"/>
      <c r="N134" s="57"/>
      <c r="O134" s="57"/>
      <c r="P134" s="57"/>
      <c r="Q134" s="57"/>
    </row>
    <row r="135" spans="1:17" ht="12.75">
      <c r="A135" s="116"/>
      <c r="B135" s="57"/>
      <c r="C135" s="57"/>
      <c r="D135" s="212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</row>
    <row r="137" ht="12.75">
      <c r="E137" s="90">
        <f>D131+H131+L131+P131</f>
        <v>842.5</v>
      </c>
    </row>
    <row r="139" ht="12.75">
      <c r="E139" s="90"/>
    </row>
  </sheetData>
  <autoFilter ref="A11:R11"/>
  <mergeCells count="12">
    <mergeCell ref="O9:Q9"/>
    <mergeCell ref="R9:R10"/>
    <mergeCell ref="A6:P6"/>
    <mergeCell ref="A7:P7"/>
    <mergeCell ref="A8:P8"/>
    <mergeCell ref="B9:B10"/>
    <mergeCell ref="C9:E9"/>
    <mergeCell ref="F9:F10"/>
    <mergeCell ref="G9:I9"/>
    <mergeCell ref="J9:J10"/>
    <mergeCell ref="K9:M9"/>
    <mergeCell ref="N9:N10"/>
  </mergeCells>
  <printOptions horizontalCentered="1"/>
  <pageMargins left="0.2362204724409449" right="0.2362204724409449" top="0.2362204724409449" bottom="0.2362204724409449" header="0" footer="0"/>
  <pageSetup fitToHeight="3" fitToWidth="1" horizontalDpi="600" verticalDpi="6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G22"/>
  <sheetViews>
    <sheetView tabSelected="1" workbookViewId="0" topLeftCell="A1">
      <selection activeCell="F30" sqref="F30"/>
    </sheetView>
  </sheetViews>
  <sheetFormatPr defaultColWidth="9.00390625" defaultRowHeight="12.75"/>
  <cols>
    <col min="1" max="1" width="9.125" style="163" customWidth="1"/>
    <col min="2" max="2" width="6.125" style="177" customWidth="1"/>
    <col min="3" max="3" width="29.125" style="163" customWidth="1"/>
    <col min="4" max="4" width="14.25390625" style="163" customWidth="1"/>
    <col min="5" max="5" width="21.00390625" style="163" customWidth="1"/>
    <col min="6" max="6" width="24.25390625" style="163" customWidth="1"/>
    <col min="7" max="257" width="9.125" style="163" customWidth="1"/>
    <col min="258" max="258" width="6.125" style="163" customWidth="1"/>
    <col min="259" max="259" width="29.125" style="163" customWidth="1"/>
    <col min="260" max="260" width="9.875" style="163" customWidth="1"/>
    <col min="261" max="261" width="11.875" style="163" customWidth="1"/>
    <col min="262" max="262" width="24.25390625" style="163" customWidth="1"/>
    <col min="263" max="513" width="9.125" style="163" customWidth="1"/>
    <col min="514" max="514" width="6.125" style="163" customWidth="1"/>
    <col min="515" max="515" width="29.125" style="163" customWidth="1"/>
    <col min="516" max="516" width="9.875" style="163" customWidth="1"/>
    <col min="517" max="517" width="11.875" style="163" customWidth="1"/>
    <col min="518" max="518" width="24.25390625" style="163" customWidth="1"/>
    <col min="519" max="769" width="9.125" style="163" customWidth="1"/>
    <col min="770" max="770" width="6.125" style="163" customWidth="1"/>
    <col min="771" max="771" width="29.125" style="163" customWidth="1"/>
    <col min="772" max="772" width="9.875" style="163" customWidth="1"/>
    <col min="773" max="773" width="11.875" style="163" customWidth="1"/>
    <col min="774" max="774" width="24.25390625" style="163" customWidth="1"/>
    <col min="775" max="1025" width="9.125" style="163" customWidth="1"/>
    <col min="1026" max="1026" width="6.125" style="163" customWidth="1"/>
    <col min="1027" max="1027" width="29.125" style="163" customWidth="1"/>
    <col min="1028" max="1028" width="9.875" style="163" customWidth="1"/>
    <col min="1029" max="1029" width="11.875" style="163" customWidth="1"/>
    <col min="1030" max="1030" width="24.25390625" style="163" customWidth="1"/>
    <col min="1031" max="1281" width="9.125" style="163" customWidth="1"/>
    <col min="1282" max="1282" width="6.125" style="163" customWidth="1"/>
    <col min="1283" max="1283" width="29.125" style="163" customWidth="1"/>
    <col min="1284" max="1284" width="9.875" style="163" customWidth="1"/>
    <col min="1285" max="1285" width="11.875" style="163" customWidth="1"/>
    <col min="1286" max="1286" width="24.25390625" style="163" customWidth="1"/>
    <col min="1287" max="1537" width="9.125" style="163" customWidth="1"/>
    <col min="1538" max="1538" width="6.125" style="163" customWidth="1"/>
    <col min="1539" max="1539" width="29.125" style="163" customWidth="1"/>
    <col min="1540" max="1540" width="9.875" style="163" customWidth="1"/>
    <col min="1541" max="1541" width="11.875" style="163" customWidth="1"/>
    <col min="1542" max="1542" width="24.25390625" style="163" customWidth="1"/>
    <col min="1543" max="1793" width="9.125" style="163" customWidth="1"/>
    <col min="1794" max="1794" width="6.125" style="163" customWidth="1"/>
    <col min="1795" max="1795" width="29.125" style="163" customWidth="1"/>
    <col min="1796" max="1796" width="9.875" style="163" customWidth="1"/>
    <col min="1797" max="1797" width="11.875" style="163" customWidth="1"/>
    <col min="1798" max="1798" width="24.25390625" style="163" customWidth="1"/>
    <col min="1799" max="2049" width="9.125" style="163" customWidth="1"/>
    <col min="2050" max="2050" width="6.125" style="163" customWidth="1"/>
    <col min="2051" max="2051" width="29.125" style="163" customWidth="1"/>
    <col min="2052" max="2052" width="9.875" style="163" customWidth="1"/>
    <col min="2053" max="2053" width="11.875" style="163" customWidth="1"/>
    <col min="2054" max="2054" width="24.25390625" style="163" customWidth="1"/>
    <col min="2055" max="2305" width="9.125" style="163" customWidth="1"/>
    <col min="2306" max="2306" width="6.125" style="163" customWidth="1"/>
    <col min="2307" max="2307" width="29.125" style="163" customWidth="1"/>
    <col min="2308" max="2308" width="9.875" style="163" customWidth="1"/>
    <col min="2309" max="2309" width="11.875" style="163" customWidth="1"/>
    <col min="2310" max="2310" width="24.25390625" style="163" customWidth="1"/>
    <col min="2311" max="2561" width="9.125" style="163" customWidth="1"/>
    <col min="2562" max="2562" width="6.125" style="163" customWidth="1"/>
    <col min="2563" max="2563" width="29.125" style="163" customWidth="1"/>
    <col min="2564" max="2564" width="9.875" style="163" customWidth="1"/>
    <col min="2565" max="2565" width="11.875" style="163" customWidth="1"/>
    <col min="2566" max="2566" width="24.25390625" style="163" customWidth="1"/>
    <col min="2567" max="2817" width="9.125" style="163" customWidth="1"/>
    <col min="2818" max="2818" width="6.125" style="163" customWidth="1"/>
    <col min="2819" max="2819" width="29.125" style="163" customWidth="1"/>
    <col min="2820" max="2820" width="9.875" style="163" customWidth="1"/>
    <col min="2821" max="2821" width="11.875" style="163" customWidth="1"/>
    <col min="2822" max="2822" width="24.25390625" style="163" customWidth="1"/>
    <col min="2823" max="3073" width="9.125" style="163" customWidth="1"/>
    <col min="3074" max="3074" width="6.125" style="163" customWidth="1"/>
    <col min="3075" max="3075" width="29.125" style="163" customWidth="1"/>
    <col min="3076" max="3076" width="9.875" style="163" customWidth="1"/>
    <col min="3077" max="3077" width="11.875" style="163" customWidth="1"/>
    <col min="3078" max="3078" width="24.25390625" style="163" customWidth="1"/>
    <col min="3079" max="3329" width="9.125" style="163" customWidth="1"/>
    <col min="3330" max="3330" width="6.125" style="163" customWidth="1"/>
    <col min="3331" max="3331" width="29.125" style="163" customWidth="1"/>
    <col min="3332" max="3332" width="9.875" style="163" customWidth="1"/>
    <col min="3333" max="3333" width="11.875" style="163" customWidth="1"/>
    <col min="3334" max="3334" width="24.25390625" style="163" customWidth="1"/>
    <col min="3335" max="3585" width="9.125" style="163" customWidth="1"/>
    <col min="3586" max="3586" width="6.125" style="163" customWidth="1"/>
    <col min="3587" max="3587" width="29.125" style="163" customWidth="1"/>
    <col min="3588" max="3588" width="9.875" style="163" customWidth="1"/>
    <col min="3589" max="3589" width="11.875" style="163" customWidth="1"/>
    <col min="3590" max="3590" width="24.25390625" style="163" customWidth="1"/>
    <col min="3591" max="3841" width="9.125" style="163" customWidth="1"/>
    <col min="3842" max="3842" width="6.125" style="163" customWidth="1"/>
    <col min="3843" max="3843" width="29.125" style="163" customWidth="1"/>
    <col min="3844" max="3844" width="9.875" style="163" customWidth="1"/>
    <col min="3845" max="3845" width="11.875" style="163" customWidth="1"/>
    <col min="3846" max="3846" width="24.25390625" style="163" customWidth="1"/>
    <col min="3847" max="4097" width="9.125" style="163" customWidth="1"/>
    <col min="4098" max="4098" width="6.125" style="163" customWidth="1"/>
    <col min="4099" max="4099" width="29.125" style="163" customWidth="1"/>
    <col min="4100" max="4100" width="9.875" style="163" customWidth="1"/>
    <col min="4101" max="4101" width="11.875" style="163" customWidth="1"/>
    <col min="4102" max="4102" width="24.25390625" style="163" customWidth="1"/>
    <col min="4103" max="4353" width="9.125" style="163" customWidth="1"/>
    <col min="4354" max="4354" width="6.125" style="163" customWidth="1"/>
    <col min="4355" max="4355" width="29.125" style="163" customWidth="1"/>
    <col min="4356" max="4356" width="9.875" style="163" customWidth="1"/>
    <col min="4357" max="4357" width="11.875" style="163" customWidth="1"/>
    <col min="4358" max="4358" width="24.25390625" style="163" customWidth="1"/>
    <col min="4359" max="4609" width="9.125" style="163" customWidth="1"/>
    <col min="4610" max="4610" width="6.125" style="163" customWidth="1"/>
    <col min="4611" max="4611" width="29.125" style="163" customWidth="1"/>
    <col min="4612" max="4612" width="9.875" style="163" customWidth="1"/>
    <col min="4613" max="4613" width="11.875" style="163" customWidth="1"/>
    <col min="4614" max="4614" width="24.25390625" style="163" customWidth="1"/>
    <col min="4615" max="4865" width="9.125" style="163" customWidth="1"/>
    <col min="4866" max="4866" width="6.125" style="163" customWidth="1"/>
    <col min="4867" max="4867" width="29.125" style="163" customWidth="1"/>
    <col min="4868" max="4868" width="9.875" style="163" customWidth="1"/>
    <col min="4869" max="4869" width="11.875" style="163" customWidth="1"/>
    <col min="4870" max="4870" width="24.25390625" style="163" customWidth="1"/>
    <col min="4871" max="5121" width="9.125" style="163" customWidth="1"/>
    <col min="5122" max="5122" width="6.125" style="163" customWidth="1"/>
    <col min="5123" max="5123" width="29.125" style="163" customWidth="1"/>
    <col min="5124" max="5124" width="9.875" style="163" customWidth="1"/>
    <col min="5125" max="5125" width="11.875" style="163" customWidth="1"/>
    <col min="5126" max="5126" width="24.25390625" style="163" customWidth="1"/>
    <col min="5127" max="5377" width="9.125" style="163" customWidth="1"/>
    <col min="5378" max="5378" width="6.125" style="163" customWidth="1"/>
    <col min="5379" max="5379" width="29.125" style="163" customWidth="1"/>
    <col min="5380" max="5380" width="9.875" style="163" customWidth="1"/>
    <col min="5381" max="5381" width="11.875" style="163" customWidth="1"/>
    <col min="5382" max="5382" width="24.25390625" style="163" customWidth="1"/>
    <col min="5383" max="5633" width="9.125" style="163" customWidth="1"/>
    <col min="5634" max="5634" width="6.125" style="163" customWidth="1"/>
    <col min="5635" max="5635" width="29.125" style="163" customWidth="1"/>
    <col min="5636" max="5636" width="9.875" style="163" customWidth="1"/>
    <col min="5637" max="5637" width="11.875" style="163" customWidth="1"/>
    <col min="5638" max="5638" width="24.25390625" style="163" customWidth="1"/>
    <col min="5639" max="5889" width="9.125" style="163" customWidth="1"/>
    <col min="5890" max="5890" width="6.125" style="163" customWidth="1"/>
    <col min="5891" max="5891" width="29.125" style="163" customWidth="1"/>
    <col min="5892" max="5892" width="9.875" style="163" customWidth="1"/>
    <col min="5893" max="5893" width="11.875" style="163" customWidth="1"/>
    <col min="5894" max="5894" width="24.25390625" style="163" customWidth="1"/>
    <col min="5895" max="6145" width="9.125" style="163" customWidth="1"/>
    <col min="6146" max="6146" width="6.125" style="163" customWidth="1"/>
    <col min="6147" max="6147" width="29.125" style="163" customWidth="1"/>
    <col min="6148" max="6148" width="9.875" style="163" customWidth="1"/>
    <col min="6149" max="6149" width="11.875" style="163" customWidth="1"/>
    <col min="6150" max="6150" width="24.25390625" style="163" customWidth="1"/>
    <col min="6151" max="6401" width="9.125" style="163" customWidth="1"/>
    <col min="6402" max="6402" width="6.125" style="163" customWidth="1"/>
    <col min="6403" max="6403" width="29.125" style="163" customWidth="1"/>
    <col min="6404" max="6404" width="9.875" style="163" customWidth="1"/>
    <col min="6405" max="6405" width="11.875" style="163" customWidth="1"/>
    <col min="6406" max="6406" width="24.25390625" style="163" customWidth="1"/>
    <col min="6407" max="6657" width="9.125" style="163" customWidth="1"/>
    <col min="6658" max="6658" width="6.125" style="163" customWidth="1"/>
    <col min="6659" max="6659" width="29.125" style="163" customWidth="1"/>
    <col min="6660" max="6660" width="9.875" style="163" customWidth="1"/>
    <col min="6661" max="6661" width="11.875" style="163" customWidth="1"/>
    <col min="6662" max="6662" width="24.25390625" style="163" customWidth="1"/>
    <col min="6663" max="6913" width="9.125" style="163" customWidth="1"/>
    <col min="6914" max="6914" width="6.125" style="163" customWidth="1"/>
    <col min="6915" max="6915" width="29.125" style="163" customWidth="1"/>
    <col min="6916" max="6916" width="9.875" style="163" customWidth="1"/>
    <col min="6917" max="6917" width="11.875" style="163" customWidth="1"/>
    <col min="6918" max="6918" width="24.25390625" style="163" customWidth="1"/>
    <col min="6919" max="7169" width="9.125" style="163" customWidth="1"/>
    <col min="7170" max="7170" width="6.125" style="163" customWidth="1"/>
    <col min="7171" max="7171" width="29.125" style="163" customWidth="1"/>
    <col min="7172" max="7172" width="9.875" style="163" customWidth="1"/>
    <col min="7173" max="7173" width="11.875" style="163" customWidth="1"/>
    <col min="7174" max="7174" width="24.25390625" style="163" customWidth="1"/>
    <col min="7175" max="7425" width="9.125" style="163" customWidth="1"/>
    <col min="7426" max="7426" width="6.125" style="163" customWidth="1"/>
    <col min="7427" max="7427" width="29.125" style="163" customWidth="1"/>
    <col min="7428" max="7428" width="9.875" style="163" customWidth="1"/>
    <col min="7429" max="7429" width="11.875" style="163" customWidth="1"/>
    <col min="7430" max="7430" width="24.25390625" style="163" customWidth="1"/>
    <col min="7431" max="7681" width="9.125" style="163" customWidth="1"/>
    <col min="7682" max="7682" width="6.125" style="163" customWidth="1"/>
    <col min="7683" max="7683" width="29.125" style="163" customWidth="1"/>
    <col min="7684" max="7684" width="9.875" style="163" customWidth="1"/>
    <col min="7685" max="7685" width="11.875" style="163" customWidth="1"/>
    <col min="7686" max="7686" width="24.25390625" style="163" customWidth="1"/>
    <col min="7687" max="7937" width="9.125" style="163" customWidth="1"/>
    <col min="7938" max="7938" width="6.125" style="163" customWidth="1"/>
    <col min="7939" max="7939" width="29.125" style="163" customWidth="1"/>
    <col min="7940" max="7940" width="9.875" style="163" customWidth="1"/>
    <col min="7941" max="7941" width="11.875" style="163" customWidth="1"/>
    <col min="7942" max="7942" width="24.25390625" style="163" customWidth="1"/>
    <col min="7943" max="8193" width="9.125" style="163" customWidth="1"/>
    <col min="8194" max="8194" width="6.125" style="163" customWidth="1"/>
    <col min="8195" max="8195" width="29.125" style="163" customWidth="1"/>
    <col min="8196" max="8196" width="9.875" style="163" customWidth="1"/>
    <col min="8197" max="8197" width="11.875" style="163" customWidth="1"/>
    <col min="8198" max="8198" width="24.25390625" style="163" customWidth="1"/>
    <col min="8199" max="8449" width="9.125" style="163" customWidth="1"/>
    <col min="8450" max="8450" width="6.125" style="163" customWidth="1"/>
    <col min="8451" max="8451" width="29.125" style="163" customWidth="1"/>
    <col min="8452" max="8452" width="9.875" style="163" customWidth="1"/>
    <col min="8453" max="8453" width="11.875" style="163" customWidth="1"/>
    <col min="8454" max="8454" width="24.25390625" style="163" customWidth="1"/>
    <col min="8455" max="8705" width="9.125" style="163" customWidth="1"/>
    <col min="8706" max="8706" width="6.125" style="163" customWidth="1"/>
    <col min="8707" max="8707" width="29.125" style="163" customWidth="1"/>
    <col min="8708" max="8708" width="9.875" style="163" customWidth="1"/>
    <col min="8709" max="8709" width="11.875" style="163" customWidth="1"/>
    <col min="8710" max="8710" width="24.25390625" style="163" customWidth="1"/>
    <col min="8711" max="8961" width="9.125" style="163" customWidth="1"/>
    <col min="8962" max="8962" width="6.125" style="163" customWidth="1"/>
    <col min="8963" max="8963" width="29.125" style="163" customWidth="1"/>
    <col min="8964" max="8964" width="9.875" style="163" customWidth="1"/>
    <col min="8965" max="8965" width="11.875" style="163" customWidth="1"/>
    <col min="8966" max="8966" width="24.25390625" style="163" customWidth="1"/>
    <col min="8967" max="9217" width="9.125" style="163" customWidth="1"/>
    <col min="9218" max="9218" width="6.125" style="163" customWidth="1"/>
    <col min="9219" max="9219" width="29.125" style="163" customWidth="1"/>
    <col min="9220" max="9220" width="9.875" style="163" customWidth="1"/>
    <col min="9221" max="9221" width="11.875" style="163" customWidth="1"/>
    <col min="9222" max="9222" width="24.25390625" style="163" customWidth="1"/>
    <col min="9223" max="9473" width="9.125" style="163" customWidth="1"/>
    <col min="9474" max="9474" width="6.125" style="163" customWidth="1"/>
    <col min="9475" max="9475" width="29.125" style="163" customWidth="1"/>
    <col min="9476" max="9476" width="9.875" style="163" customWidth="1"/>
    <col min="9477" max="9477" width="11.875" style="163" customWidth="1"/>
    <col min="9478" max="9478" width="24.25390625" style="163" customWidth="1"/>
    <col min="9479" max="9729" width="9.125" style="163" customWidth="1"/>
    <col min="9730" max="9730" width="6.125" style="163" customWidth="1"/>
    <col min="9731" max="9731" width="29.125" style="163" customWidth="1"/>
    <col min="9732" max="9732" width="9.875" style="163" customWidth="1"/>
    <col min="9733" max="9733" width="11.875" style="163" customWidth="1"/>
    <col min="9734" max="9734" width="24.25390625" style="163" customWidth="1"/>
    <col min="9735" max="9985" width="9.125" style="163" customWidth="1"/>
    <col min="9986" max="9986" width="6.125" style="163" customWidth="1"/>
    <col min="9987" max="9987" width="29.125" style="163" customWidth="1"/>
    <col min="9988" max="9988" width="9.875" style="163" customWidth="1"/>
    <col min="9989" max="9989" width="11.875" style="163" customWidth="1"/>
    <col min="9990" max="9990" width="24.25390625" style="163" customWidth="1"/>
    <col min="9991" max="10241" width="9.125" style="163" customWidth="1"/>
    <col min="10242" max="10242" width="6.125" style="163" customWidth="1"/>
    <col min="10243" max="10243" width="29.125" style="163" customWidth="1"/>
    <col min="10244" max="10244" width="9.875" style="163" customWidth="1"/>
    <col min="10245" max="10245" width="11.875" style="163" customWidth="1"/>
    <col min="10246" max="10246" width="24.25390625" style="163" customWidth="1"/>
    <col min="10247" max="10497" width="9.125" style="163" customWidth="1"/>
    <col min="10498" max="10498" width="6.125" style="163" customWidth="1"/>
    <col min="10499" max="10499" width="29.125" style="163" customWidth="1"/>
    <col min="10500" max="10500" width="9.875" style="163" customWidth="1"/>
    <col min="10501" max="10501" width="11.875" style="163" customWidth="1"/>
    <col min="10502" max="10502" width="24.25390625" style="163" customWidth="1"/>
    <col min="10503" max="10753" width="9.125" style="163" customWidth="1"/>
    <col min="10754" max="10754" width="6.125" style="163" customWidth="1"/>
    <col min="10755" max="10755" width="29.125" style="163" customWidth="1"/>
    <col min="10756" max="10756" width="9.875" style="163" customWidth="1"/>
    <col min="10757" max="10757" width="11.875" style="163" customWidth="1"/>
    <col min="10758" max="10758" width="24.25390625" style="163" customWidth="1"/>
    <col min="10759" max="11009" width="9.125" style="163" customWidth="1"/>
    <col min="11010" max="11010" width="6.125" style="163" customWidth="1"/>
    <col min="11011" max="11011" width="29.125" style="163" customWidth="1"/>
    <col min="11012" max="11012" width="9.875" style="163" customWidth="1"/>
    <col min="11013" max="11013" width="11.875" style="163" customWidth="1"/>
    <col min="11014" max="11014" width="24.25390625" style="163" customWidth="1"/>
    <col min="11015" max="11265" width="9.125" style="163" customWidth="1"/>
    <col min="11266" max="11266" width="6.125" style="163" customWidth="1"/>
    <col min="11267" max="11267" width="29.125" style="163" customWidth="1"/>
    <col min="11268" max="11268" width="9.875" style="163" customWidth="1"/>
    <col min="11269" max="11269" width="11.875" style="163" customWidth="1"/>
    <col min="11270" max="11270" width="24.25390625" style="163" customWidth="1"/>
    <col min="11271" max="11521" width="9.125" style="163" customWidth="1"/>
    <col min="11522" max="11522" width="6.125" style="163" customWidth="1"/>
    <col min="11523" max="11523" width="29.125" style="163" customWidth="1"/>
    <col min="11524" max="11524" width="9.875" style="163" customWidth="1"/>
    <col min="11525" max="11525" width="11.875" style="163" customWidth="1"/>
    <col min="11526" max="11526" width="24.25390625" style="163" customWidth="1"/>
    <col min="11527" max="11777" width="9.125" style="163" customWidth="1"/>
    <col min="11778" max="11778" width="6.125" style="163" customWidth="1"/>
    <col min="11779" max="11779" width="29.125" style="163" customWidth="1"/>
    <col min="11780" max="11780" width="9.875" style="163" customWidth="1"/>
    <col min="11781" max="11781" width="11.875" style="163" customWidth="1"/>
    <col min="11782" max="11782" width="24.25390625" style="163" customWidth="1"/>
    <col min="11783" max="12033" width="9.125" style="163" customWidth="1"/>
    <col min="12034" max="12034" width="6.125" style="163" customWidth="1"/>
    <col min="12035" max="12035" width="29.125" style="163" customWidth="1"/>
    <col min="12036" max="12036" width="9.875" style="163" customWidth="1"/>
    <col min="12037" max="12037" width="11.875" style="163" customWidth="1"/>
    <col min="12038" max="12038" width="24.25390625" style="163" customWidth="1"/>
    <col min="12039" max="12289" width="9.125" style="163" customWidth="1"/>
    <col min="12290" max="12290" width="6.125" style="163" customWidth="1"/>
    <col min="12291" max="12291" width="29.125" style="163" customWidth="1"/>
    <col min="12292" max="12292" width="9.875" style="163" customWidth="1"/>
    <col min="12293" max="12293" width="11.875" style="163" customWidth="1"/>
    <col min="12294" max="12294" width="24.25390625" style="163" customWidth="1"/>
    <col min="12295" max="12545" width="9.125" style="163" customWidth="1"/>
    <col min="12546" max="12546" width="6.125" style="163" customWidth="1"/>
    <col min="12547" max="12547" width="29.125" style="163" customWidth="1"/>
    <col min="12548" max="12548" width="9.875" style="163" customWidth="1"/>
    <col min="12549" max="12549" width="11.875" style="163" customWidth="1"/>
    <col min="12550" max="12550" width="24.25390625" style="163" customWidth="1"/>
    <col min="12551" max="12801" width="9.125" style="163" customWidth="1"/>
    <col min="12802" max="12802" width="6.125" style="163" customWidth="1"/>
    <col min="12803" max="12803" width="29.125" style="163" customWidth="1"/>
    <col min="12804" max="12804" width="9.875" style="163" customWidth="1"/>
    <col min="12805" max="12805" width="11.875" style="163" customWidth="1"/>
    <col min="12806" max="12806" width="24.25390625" style="163" customWidth="1"/>
    <col min="12807" max="13057" width="9.125" style="163" customWidth="1"/>
    <col min="13058" max="13058" width="6.125" style="163" customWidth="1"/>
    <col min="13059" max="13059" width="29.125" style="163" customWidth="1"/>
    <col min="13060" max="13060" width="9.875" style="163" customWidth="1"/>
    <col min="13061" max="13061" width="11.875" style="163" customWidth="1"/>
    <col min="13062" max="13062" width="24.25390625" style="163" customWidth="1"/>
    <col min="13063" max="13313" width="9.125" style="163" customWidth="1"/>
    <col min="13314" max="13314" width="6.125" style="163" customWidth="1"/>
    <col min="13315" max="13315" width="29.125" style="163" customWidth="1"/>
    <col min="13316" max="13316" width="9.875" style="163" customWidth="1"/>
    <col min="13317" max="13317" width="11.875" style="163" customWidth="1"/>
    <col min="13318" max="13318" width="24.25390625" style="163" customWidth="1"/>
    <col min="13319" max="13569" width="9.125" style="163" customWidth="1"/>
    <col min="13570" max="13570" width="6.125" style="163" customWidth="1"/>
    <col min="13571" max="13571" width="29.125" style="163" customWidth="1"/>
    <col min="13572" max="13572" width="9.875" style="163" customWidth="1"/>
    <col min="13573" max="13573" width="11.875" style="163" customWidth="1"/>
    <col min="13574" max="13574" width="24.25390625" style="163" customWidth="1"/>
    <col min="13575" max="13825" width="9.125" style="163" customWidth="1"/>
    <col min="13826" max="13826" width="6.125" style="163" customWidth="1"/>
    <col min="13827" max="13827" width="29.125" style="163" customWidth="1"/>
    <col min="13828" max="13828" width="9.875" style="163" customWidth="1"/>
    <col min="13829" max="13829" width="11.875" style="163" customWidth="1"/>
    <col min="13830" max="13830" width="24.25390625" style="163" customWidth="1"/>
    <col min="13831" max="14081" width="9.125" style="163" customWidth="1"/>
    <col min="14082" max="14082" width="6.125" style="163" customWidth="1"/>
    <col min="14083" max="14083" width="29.125" style="163" customWidth="1"/>
    <col min="14084" max="14084" width="9.875" style="163" customWidth="1"/>
    <col min="14085" max="14085" width="11.875" style="163" customWidth="1"/>
    <col min="14086" max="14086" width="24.25390625" style="163" customWidth="1"/>
    <col min="14087" max="14337" width="9.125" style="163" customWidth="1"/>
    <col min="14338" max="14338" width="6.125" style="163" customWidth="1"/>
    <col min="14339" max="14339" width="29.125" style="163" customWidth="1"/>
    <col min="14340" max="14340" width="9.875" style="163" customWidth="1"/>
    <col min="14341" max="14341" width="11.875" style="163" customWidth="1"/>
    <col min="14342" max="14342" width="24.25390625" style="163" customWidth="1"/>
    <col min="14343" max="14593" width="9.125" style="163" customWidth="1"/>
    <col min="14594" max="14594" width="6.125" style="163" customWidth="1"/>
    <col min="14595" max="14595" width="29.125" style="163" customWidth="1"/>
    <col min="14596" max="14596" width="9.875" style="163" customWidth="1"/>
    <col min="14597" max="14597" width="11.875" style="163" customWidth="1"/>
    <col min="14598" max="14598" width="24.25390625" style="163" customWidth="1"/>
    <col min="14599" max="14849" width="9.125" style="163" customWidth="1"/>
    <col min="14850" max="14850" width="6.125" style="163" customWidth="1"/>
    <col min="14851" max="14851" width="29.125" style="163" customWidth="1"/>
    <col min="14852" max="14852" width="9.875" style="163" customWidth="1"/>
    <col min="14853" max="14853" width="11.875" style="163" customWidth="1"/>
    <col min="14854" max="14854" width="24.25390625" style="163" customWidth="1"/>
    <col min="14855" max="15105" width="9.125" style="163" customWidth="1"/>
    <col min="15106" max="15106" width="6.125" style="163" customWidth="1"/>
    <col min="15107" max="15107" width="29.125" style="163" customWidth="1"/>
    <col min="15108" max="15108" width="9.875" style="163" customWidth="1"/>
    <col min="15109" max="15109" width="11.875" style="163" customWidth="1"/>
    <col min="15110" max="15110" width="24.25390625" style="163" customWidth="1"/>
    <col min="15111" max="15361" width="9.125" style="163" customWidth="1"/>
    <col min="15362" max="15362" width="6.125" style="163" customWidth="1"/>
    <col min="15363" max="15363" width="29.125" style="163" customWidth="1"/>
    <col min="15364" max="15364" width="9.875" style="163" customWidth="1"/>
    <col min="15365" max="15365" width="11.875" style="163" customWidth="1"/>
    <col min="15366" max="15366" width="24.25390625" style="163" customWidth="1"/>
    <col min="15367" max="15617" width="9.125" style="163" customWidth="1"/>
    <col min="15618" max="15618" width="6.125" style="163" customWidth="1"/>
    <col min="15619" max="15619" width="29.125" style="163" customWidth="1"/>
    <col min="15620" max="15620" width="9.875" style="163" customWidth="1"/>
    <col min="15621" max="15621" width="11.875" style="163" customWidth="1"/>
    <col min="15622" max="15622" width="24.25390625" style="163" customWidth="1"/>
    <col min="15623" max="15873" width="9.125" style="163" customWidth="1"/>
    <col min="15874" max="15874" width="6.125" style="163" customWidth="1"/>
    <col min="15875" max="15875" width="29.125" style="163" customWidth="1"/>
    <col min="15876" max="15876" width="9.875" style="163" customWidth="1"/>
    <col min="15877" max="15877" width="11.875" style="163" customWidth="1"/>
    <col min="15878" max="15878" width="24.25390625" style="163" customWidth="1"/>
    <col min="15879" max="16129" width="9.125" style="163" customWidth="1"/>
    <col min="16130" max="16130" width="6.125" style="163" customWidth="1"/>
    <col min="16131" max="16131" width="29.125" style="163" customWidth="1"/>
    <col min="16132" max="16132" width="9.875" style="163" customWidth="1"/>
    <col min="16133" max="16133" width="11.875" style="163" customWidth="1"/>
    <col min="16134" max="16134" width="24.25390625" style="163" customWidth="1"/>
    <col min="16135" max="16384" width="9.125" style="163" customWidth="1"/>
  </cols>
  <sheetData>
    <row r="1" spans="2:6" ht="15.75" customHeight="1">
      <c r="B1" s="161"/>
      <c r="C1" s="162"/>
      <c r="D1" s="2164" t="s">
        <v>144</v>
      </c>
      <c r="E1" s="2164"/>
      <c r="F1" s="164"/>
    </row>
    <row r="2" spans="2:6" ht="15.75">
      <c r="B2" s="161"/>
      <c r="C2" s="164"/>
      <c r="D2" s="2164"/>
      <c r="E2" s="2164"/>
      <c r="F2" s="164"/>
    </row>
    <row r="3" spans="2:6" ht="15.75">
      <c r="B3" s="161"/>
      <c r="C3" s="164"/>
      <c r="D3" s="2164"/>
      <c r="E3" s="2164"/>
      <c r="F3" s="164"/>
    </row>
    <row r="4" spans="2:6" ht="15.75">
      <c r="B4" s="161"/>
      <c r="C4" s="164"/>
      <c r="D4" s="2164"/>
      <c r="E4" s="2164"/>
      <c r="F4" s="164"/>
    </row>
    <row r="5" spans="2:6" ht="12.75" customHeight="1">
      <c r="B5" s="165"/>
      <c r="C5" s="166"/>
      <c r="D5" s="164"/>
      <c r="E5" s="164"/>
      <c r="F5" s="164"/>
    </row>
    <row r="6" spans="2:6" ht="15" customHeight="1">
      <c r="B6" s="165"/>
      <c r="C6" s="166"/>
      <c r="D6" s="166"/>
      <c r="E6" s="166"/>
      <c r="F6" s="162"/>
    </row>
    <row r="7" spans="2:6" ht="15" customHeight="1">
      <c r="B7" s="165"/>
      <c r="C7" s="167"/>
      <c r="D7" s="167"/>
      <c r="E7" s="167"/>
      <c r="F7" s="162"/>
    </row>
    <row r="8" spans="2:6" ht="24.75" customHeight="1">
      <c r="B8" s="2165" t="s">
        <v>301</v>
      </c>
      <c r="C8" s="2165"/>
      <c r="D8" s="2165"/>
      <c r="E8" s="2165"/>
      <c r="F8" s="925"/>
    </row>
    <row r="9" spans="2:6" ht="33.75" customHeight="1" thickBot="1">
      <c r="B9" s="2166" t="s">
        <v>2</v>
      </c>
      <c r="C9" s="2166"/>
      <c r="D9" s="2166"/>
      <c r="E9" s="2166"/>
      <c r="F9" s="926"/>
    </row>
    <row r="10" spans="2:6" ht="15.75" customHeight="1">
      <c r="B10" s="2167" t="s">
        <v>128</v>
      </c>
      <c r="C10" s="2170" t="s">
        <v>6</v>
      </c>
      <c r="D10" s="2173" t="s">
        <v>145</v>
      </c>
      <c r="E10" s="2176" t="s">
        <v>146</v>
      </c>
      <c r="F10" s="2161" t="s">
        <v>49</v>
      </c>
    </row>
    <row r="11" spans="2:6" s="168" customFormat="1" ht="24.75" customHeight="1">
      <c r="B11" s="2168"/>
      <c r="C11" s="2171"/>
      <c r="D11" s="2174"/>
      <c r="E11" s="2177"/>
      <c r="F11" s="2162"/>
    </row>
    <row r="12" spans="2:7" s="168" customFormat="1" ht="13.5" customHeight="1" thickBot="1">
      <c r="B12" s="2169"/>
      <c r="C12" s="2172"/>
      <c r="D12" s="2175"/>
      <c r="E12" s="2178"/>
      <c r="F12" s="2163"/>
      <c r="G12" s="169"/>
    </row>
    <row r="13" spans="2:7" s="168" customFormat="1" ht="13.5" customHeight="1">
      <c r="B13" s="648"/>
      <c r="C13" s="649" t="s">
        <v>443</v>
      </c>
      <c r="D13" s="650">
        <v>5</v>
      </c>
      <c r="E13" s="929">
        <f>D13*2.755</f>
        <v>13.774999999999999</v>
      </c>
      <c r="F13" s="927" t="s">
        <v>445</v>
      </c>
      <c r="G13" s="169"/>
    </row>
    <row r="14" spans="2:7" s="168" customFormat="1" ht="13.5" customHeight="1" thickBot="1">
      <c r="B14" s="648"/>
      <c r="C14" s="649" t="s">
        <v>270</v>
      </c>
      <c r="D14" s="650">
        <v>6</v>
      </c>
      <c r="E14" s="929">
        <f>D14*2.755</f>
        <v>16.53</v>
      </c>
      <c r="F14" s="927" t="s">
        <v>445</v>
      </c>
      <c r="G14" s="169"/>
    </row>
    <row r="15" spans="2:7" s="168" customFormat="1" ht="13.5" customHeight="1" hidden="1">
      <c r="B15" s="648"/>
      <c r="C15" s="649"/>
      <c r="D15" s="650"/>
      <c r="E15" s="929">
        <f>D15*6.854</f>
        <v>0</v>
      </c>
      <c r="F15" s="927"/>
      <c r="G15" s="169"/>
    </row>
    <row r="16" spans="2:7" s="168" customFormat="1" ht="13.5" customHeight="1" hidden="1">
      <c r="B16" s="648"/>
      <c r="C16" s="649"/>
      <c r="D16" s="650"/>
      <c r="E16" s="929">
        <f>D16*6.854</f>
        <v>0</v>
      </c>
      <c r="F16" s="927"/>
      <c r="G16" s="169"/>
    </row>
    <row r="17" spans="2:7" ht="16.5" hidden="1" thickBot="1">
      <c r="B17" s="648"/>
      <c r="C17" s="649"/>
      <c r="D17" s="650"/>
      <c r="E17" s="929">
        <f>D17*6.854</f>
        <v>0</v>
      </c>
      <c r="F17" s="927"/>
      <c r="G17" s="163" t="s">
        <v>147</v>
      </c>
    </row>
    <row r="18" spans="2:6" ht="16.5" thickBot="1">
      <c r="B18" s="170"/>
      <c r="C18" s="171" t="s">
        <v>142</v>
      </c>
      <c r="D18" s="651">
        <f>SUM(D13:D17)</f>
        <v>11</v>
      </c>
      <c r="E18" s="930">
        <f>SUM(E13:E17)</f>
        <v>30.305</v>
      </c>
      <c r="F18" s="928"/>
    </row>
    <row r="19" spans="2:6" ht="15.75">
      <c r="B19" s="172"/>
      <c r="C19" s="173"/>
      <c r="D19" s="174"/>
      <c r="E19" s="175"/>
      <c r="F19" s="176"/>
    </row>
    <row r="20" spans="2:6" ht="15.75">
      <c r="B20" s="172"/>
      <c r="C20" s="173"/>
      <c r="D20" s="174"/>
      <c r="E20" s="175"/>
      <c r="F20" s="176"/>
    </row>
    <row r="21" spans="2:6" ht="15.75">
      <c r="B21" s="161"/>
      <c r="C21" s="162"/>
      <c r="D21" s="162"/>
      <c r="E21" s="162"/>
      <c r="F21" s="162"/>
    </row>
    <row r="22" spans="2:6" ht="15.75">
      <c r="B22" s="161"/>
      <c r="C22" s="167" t="s">
        <v>95</v>
      </c>
      <c r="D22" s="166"/>
      <c r="E22" s="166" t="s">
        <v>96</v>
      </c>
      <c r="F22" s="162"/>
    </row>
  </sheetData>
  <mergeCells count="8">
    <mergeCell ref="F10:F12"/>
    <mergeCell ref="D1:E4"/>
    <mergeCell ref="B8:E8"/>
    <mergeCell ref="B9:E9"/>
    <mergeCell ref="B10:B12"/>
    <mergeCell ref="C10:C12"/>
    <mergeCell ref="D10:D12"/>
    <mergeCell ref="E10:E12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B2:M59"/>
  <sheetViews>
    <sheetView workbookViewId="0" topLeftCell="A13">
      <selection activeCell="A37" sqref="A37:XFD53"/>
    </sheetView>
  </sheetViews>
  <sheetFormatPr defaultColWidth="9.00390625" defaultRowHeight="12.75"/>
  <cols>
    <col min="1" max="1" width="19.75390625" style="0" customWidth="1"/>
    <col min="2" max="2" width="4.375" style="0" customWidth="1"/>
    <col min="3" max="3" width="26.375" style="0" customWidth="1"/>
    <col min="4" max="4" width="9.625" style="0" bestFit="1" customWidth="1"/>
    <col min="6" max="6" width="15.125" style="0" customWidth="1"/>
    <col min="7" max="7" width="33.25390625" style="0" customWidth="1"/>
    <col min="8" max="11" width="9.125" style="0" hidden="1" customWidth="1"/>
    <col min="12" max="12" width="22.25390625" style="0" hidden="1" customWidth="1"/>
    <col min="257" max="257" width="19.75390625" style="0" customWidth="1"/>
    <col min="258" max="258" width="4.375" style="0" customWidth="1"/>
    <col min="259" max="259" width="26.375" style="0" customWidth="1"/>
    <col min="260" max="260" width="9.625" style="0" bestFit="1" customWidth="1"/>
    <col min="262" max="262" width="15.125" style="0" customWidth="1"/>
    <col min="263" max="263" width="31.375" style="0" customWidth="1"/>
    <col min="264" max="267" width="9.125" style="0" customWidth="1"/>
    <col min="268" max="268" width="22.25390625" style="0" customWidth="1"/>
    <col min="513" max="513" width="19.75390625" style="0" customWidth="1"/>
    <col min="514" max="514" width="4.375" style="0" customWidth="1"/>
    <col min="515" max="515" width="26.375" style="0" customWidth="1"/>
    <col min="516" max="516" width="9.625" style="0" bestFit="1" customWidth="1"/>
    <col min="518" max="518" width="15.125" style="0" customWidth="1"/>
    <col min="519" max="519" width="31.375" style="0" customWidth="1"/>
    <col min="520" max="523" width="9.125" style="0" customWidth="1"/>
    <col min="524" max="524" width="22.25390625" style="0" customWidth="1"/>
    <col min="769" max="769" width="19.75390625" style="0" customWidth="1"/>
    <col min="770" max="770" width="4.375" style="0" customWidth="1"/>
    <col min="771" max="771" width="26.375" style="0" customWidth="1"/>
    <col min="772" max="772" width="9.625" style="0" bestFit="1" customWidth="1"/>
    <col min="774" max="774" width="15.125" style="0" customWidth="1"/>
    <col min="775" max="775" width="31.375" style="0" customWidth="1"/>
    <col min="776" max="779" width="9.125" style="0" customWidth="1"/>
    <col min="780" max="780" width="22.25390625" style="0" customWidth="1"/>
    <col min="1025" max="1025" width="19.75390625" style="0" customWidth="1"/>
    <col min="1026" max="1026" width="4.375" style="0" customWidth="1"/>
    <col min="1027" max="1027" width="26.375" style="0" customWidth="1"/>
    <col min="1028" max="1028" width="9.625" style="0" bestFit="1" customWidth="1"/>
    <col min="1030" max="1030" width="15.125" style="0" customWidth="1"/>
    <col min="1031" max="1031" width="31.375" style="0" customWidth="1"/>
    <col min="1032" max="1035" width="9.125" style="0" customWidth="1"/>
    <col min="1036" max="1036" width="22.25390625" style="0" customWidth="1"/>
    <col min="1281" max="1281" width="19.75390625" style="0" customWidth="1"/>
    <col min="1282" max="1282" width="4.375" style="0" customWidth="1"/>
    <col min="1283" max="1283" width="26.375" style="0" customWidth="1"/>
    <col min="1284" max="1284" width="9.625" style="0" bestFit="1" customWidth="1"/>
    <col min="1286" max="1286" width="15.125" style="0" customWidth="1"/>
    <col min="1287" max="1287" width="31.375" style="0" customWidth="1"/>
    <col min="1288" max="1291" width="9.125" style="0" customWidth="1"/>
    <col min="1292" max="1292" width="22.25390625" style="0" customWidth="1"/>
    <col min="1537" max="1537" width="19.75390625" style="0" customWidth="1"/>
    <col min="1538" max="1538" width="4.375" style="0" customWidth="1"/>
    <col min="1539" max="1539" width="26.375" style="0" customWidth="1"/>
    <col min="1540" max="1540" width="9.625" style="0" bestFit="1" customWidth="1"/>
    <col min="1542" max="1542" width="15.125" style="0" customWidth="1"/>
    <col min="1543" max="1543" width="31.375" style="0" customWidth="1"/>
    <col min="1544" max="1547" width="9.125" style="0" customWidth="1"/>
    <col min="1548" max="1548" width="22.25390625" style="0" customWidth="1"/>
    <col min="1793" max="1793" width="19.75390625" style="0" customWidth="1"/>
    <col min="1794" max="1794" width="4.375" style="0" customWidth="1"/>
    <col min="1795" max="1795" width="26.375" style="0" customWidth="1"/>
    <col min="1796" max="1796" width="9.625" style="0" bestFit="1" customWidth="1"/>
    <col min="1798" max="1798" width="15.125" style="0" customWidth="1"/>
    <col min="1799" max="1799" width="31.375" style="0" customWidth="1"/>
    <col min="1800" max="1803" width="9.125" style="0" customWidth="1"/>
    <col min="1804" max="1804" width="22.25390625" style="0" customWidth="1"/>
    <col min="2049" max="2049" width="19.75390625" style="0" customWidth="1"/>
    <col min="2050" max="2050" width="4.375" style="0" customWidth="1"/>
    <col min="2051" max="2051" width="26.375" style="0" customWidth="1"/>
    <col min="2052" max="2052" width="9.625" style="0" bestFit="1" customWidth="1"/>
    <col min="2054" max="2054" width="15.125" style="0" customWidth="1"/>
    <col min="2055" max="2055" width="31.375" style="0" customWidth="1"/>
    <col min="2056" max="2059" width="9.125" style="0" customWidth="1"/>
    <col min="2060" max="2060" width="22.25390625" style="0" customWidth="1"/>
    <col min="2305" max="2305" width="19.75390625" style="0" customWidth="1"/>
    <col min="2306" max="2306" width="4.375" style="0" customWidth="1"/>
    <col min="2307" max="2307" width="26.375" style="0" customWidth="1"/>
    <col min="2308" max="2308" width="9.625" style="0" bestFit="1" customWidth="1"/>
    <col min="2310" max="2310" width="15.125" style="0" customWidth="1"/>
    <col min="2311" max="2311" width="31.375" style="0" customWidth="1"/>
    <col min="2312" max="2315" width="9.125" style="0" customWidth="1"/>
    <col min="2316" max="2316" width="22.25390625" style="0" customWidth="1"/>
    <col min="2561" max="2561" width="19.75390625" style="0" customWidth="1"/>
    <col min="2562" max="2562" width="4.375" style="0" customWidth="1"/>
    <col min="2563" max="2563" width="26.375" style="0" customWidth="1"/>
    <col min="2564" max="2564" width="9.625" style="0" bestFit="1" customWidth="1"/>
    <col min="2566" max="2566" width="15.125" style="0" customWidth="1"/>
    <col min="2567" max="2567" width="31.375" style="0" customWidth="1"/>
    <col min="2568" max="2571" width="9.125" style="0" customWidth="1"/>
    <col min="2572" max="2572" width="22.25390625" style="0" customWidth="1"/>
    <col min="2817" max="2817" width="19.75390625" style="0" customWidth="1"/>
    <col min="2818" max="2818" width="4.375" style="0" customWidth="1"/>
    <col min="2819" max="2819" width="26.375" style="0" customWidth="1"/>
    <col min="2820" max="2820" width="9.625" style="0" bestFit="1" customWidth="1"/>
    <col min="2822" max="2822" width="15.125" style="0" customWidth="1"/>
    <col min="2823" max="2823" width="31.375" style="0" customWidth="1"/>
    <col min="2824" max="2827" width="9.125" style="0" customWidth="1"/>
    <col min="2828" max="2828" width="22.25390625" style="0" customWidth="1"/>
    <col min="3073" max="3073" width="19.75390625" style="0" customWidth="1"/>
    <col min="3074" max="3074" width="4.375" style="0" customWidth="1"/>
    <col min="3075" max="3075" width="26.375" style="0" customWidth="1"/>
    <col min="3076" max="3076" width="9.625" style="0" bestFit="1" customWidth="1"/>
    <col min="3078" max="3078" width="15.125" style="0" customWidth="1"/>
    <col min="3079" max="3079" width="31.375" style="0" customWidth="1"/>
    <col min="3080" max="3083" width="9.125" style="0" customWidth="1"/>
    <col min="3084" max="3084" width="22.25390625" style="0" customWidth="1"/>
    <col min="3329" max="3329" width="19.75390625" style="0" customWidth="1"/>
    <col min="3330" max="3330" width="4.375" style="0" customWidth="1"/>
    <col min="3331" max="3331" width="26.375" style="0" customWidth="1"/>
    <col min="3332" max="3332" width="9.625" style="0" bestFit="1" customWidth="1"/>
    <col min="3334" max="3334" width="15.125" style="0" customWidth="1"/>
    <col min="3335" max="3335" width="31.375" style="0" customWidth="1"/>
    <col min="3336" max="3339" width="9.125" style="0" customWidth="1"/>
    <col min="3340" max="3340" width="22.25390625" style="0" customWidth="1"/>
    <col min="3585" max="3585" width="19.75390625" style="0" customWidth="1"/>
    <col min="3586" max="3586" width="4.375" style="0" customWidth="1"/>
    <col min="3587" max="3587" width="26.375" style="0" customWidth="1"/>
    <col min="3588" max="3588" width="9.625" style="0" bestFit="1" customWidth="1"/>
    <col min="3590" max="3590" width="15.125" style="0" customWidth="1"/>
    <col min="3591" max="3591" width="31.375" style="0" customWidth="1"/>
    <col min="3592" max="3595" width="9.125" style="0" customWidth="1"/>
    <col min="3596" max="3596" width="22.25390625" style="0" customWidth="1"/>
    <col min="3841" max="3841" width="19.75390625" style="0" customWidth="1"/>
    <col min="3842" max="3842" width="4.375" style="0" customWidth="1"/>
    <col min="3843" max="3843" width="26.375" style="0" customWidth="1"/>
    <col min="3844" max="3844" width="9.625" style="0" bestFit="1" customWidth="1"/>
    <col min="3846" max="3846" width="15.125" style="0" customWidth="1"/>
    <col min="3847" max="3847" width="31.375" style="0" customWidth="1"/>
    <col min="3848" max="3851" width="9.125" style="0" customWidth="1"/>
    <col min="3852" max="3852" width="22.25390625" style="0" customWidth="1"/>
    <col min="4097" max="4097" width="19.75390625" style="0" customWidth="1"/>
    <col min="4098" max="4098" width="4.375" style="0" customWidth="1"/>
    <col min="4099" max="4099" width="26.375" style="0" customWidth="1"/>
    <col min="4100" max="4100" width="9.625" style="0" bestFit="1" customWidth="1"/>
    <col min="4102" max="4102" width="15.125" style="0" customWidth="1"/>
    <col min="4103" max="4103" width="31.375" style="0" customWidth="1"/>
    <col min="4104" max="4107" width="9.125" style="0" customWidth="1"/>
    <col min="4108" max="4108" width="22.25390625" style="0" customWidth="1"/>
    <col min="4353" max="4353" width="19.75390625" style="0" customWidth="1"/>
    <col min="4354" max="4354" width="4.375" style="0" customWidth="1"/>
    <col min="4355" max="4355" width="26.375" style="0" customWidth="1"/>
    <col min="4356" max="4356" width="9.625" style="0" bestFit="1" customWidth="1"/>
    <col min="4358" max="4358" width="15.125" style="0" customWidth="1"/>
    <col min="4359" max="4359" width="31.375" style="0" customWidth="1"/>
    <col min="4360" max="4363" width="9.125" style="0" customWidth="1"/>
    <col min="4364" max="4364" width="22.25390625" style="0" customWidth="1"/>
    <col min="4609" max="4609" width="19.75390625" style="0" customWidth="1"/>
    <col min="4610" max="4610" width="4.375" style="0" customWidth="1"/>
    <col min="4611" max="4611" width="26.375" style="0" customWidth="1"/>
    <col min="4612" max="4612" width="9.625" style="0" bestFit="1" customWidth="1"/>
    <col min="4614" max="4614" width="15.125" style="0" customWidth="1"/>
    <col min="4615" max="4615" width="31.375" style="0" customWidth="1"/>
    <col min="4616" max="4619" width="9.125" style="0" customWidth="1"/>
    <col min="4620" max="4620" width="22.25390625" style="0" customWidth="1"/>
    <col min="4865" max="4865" width="19.75390625" style="0" customWidth="1"/>
    <col min="4866" max="4866" width="4.375" style="0" customWidth="1"/>
    <col min="4867" max="4867" width="26.375" style="0" customWidth="1"/>
    <col min="4868" max="4868" width="9.625" style="0" bestFit="1" customWidth="1"/>
    <col min="4870" max="4870" width="15.125" style="0" customWidth="1"/>
    <col min="4871" max="4871" width="31.375" style="0" customWidth="1"/>
    <col min="4872" max="4875" width="9.125" style="0" customWidth="1"/>
    <col min="4876" max="4876" width="22.25390625" style="0" customWidth="1"/>
    <col min="5121" max="5121" width="19.75390625" style="0" customWidth="1"/>
    <col min="5122" max="5122" width="4.375" style="0" customWidth="1"/>
    <col min="5123" max="5123" width="26.375" style="0" customWidth="1"/>
    <col min="5124" max="5124" width="9.625" style="0" bestFit="1" customWidth="1"/>
    <col min="5126" max="5126" width="15.125" style="0" customWidth="1"/>
    <col min="5127" max="5127" width="31.375" style="0" customWidth="1"/>
    <col min="5128" max="5131" width="9.125" style="0" customWidth="1"/>
    <col min="5132" max="5132" width="22.25390625" style="0" customWidth="1"/>
    <col min="5377" max="5377" width="19.75390625" style="0" customWidth="1"/>
    <col min="5378" max="5378" width="4.375" style="0" customWidth="1"/>
    <col min="5379" max="5379" width="26.375" style="0" customWidth="1"/>
    <col min="5380" max="5380" width="9.625" style="0" bestFit="1" customWidth="1"/>
    <col min="5382" max="5382" width="15.125" style="0" customWidth="1"/>
    <col min="5383" max="5383" width="31.375" style="0" customWidth="1"/>
    <col min="5384" max="5387" width="9.125" style="0" customWidth="1"/>
    <col min="5388" max="5388" width="22.25390625" style="0" customWidth="1"/>
    <col min="5633" max="5633" width="19.75390625" style="0" customWidth="1"/>
    <col min="5634" max="5634" width="4.375" style="0" customWidth="1"/>
    <col min="5635" max="5635" width="26.375" style="0" customWidth="1"/>
    <col min="5636" max="5636" width="9.625" style="0" bestFit="1" customWidth="1"/>
    <col min="5638" max="5638" width="15.125" style="0" customWidth="1"/>
    <col min="5639" max="5639" width="31.375" style="0" customWidth="1"/>
    <col min="5640" max="5643" width="9.125" style="0" customWidth="1"/>
    <col min="5644" max="5644" width="22.25390625" style="0" customWidth="1"/>
    <col min="5889" max="5889" width="19.75390625" style="0" customWidth="1"/>
    <col min="5890" max="5890" width="4.375" style="0" customWidth="1"/>
    <col min="5891" max="5891" width="26.375" style="0" customWidth="1"/>
    <col min="5892" max="5892" width="9.625" style="0" bestFit="1" customWidth="1"/>
    <col min="5894" max="5894" width="15.125" style="0" customWidth="1"/>
    <col min="5895" max="5895" width="31.375" style="0" customWidth="1"/>
    <col min="5896" max="5899" width="9.125" style="0" customWidth="1"/>
    <col min="5900" max="5900" width="22.25390625" style="0" customWidth="1"/>
    <col min="6145" max="6145" width="19.75390625" style="0" customWidth="1"/>
    <col min="6146" max="6146" width="4.375" style="0" customWidth="1"/>
    <col min="6147" max="6147" width="26.375" style="0" customWidth="1"/>
    <col min="6148" max="6148" width="9.625" style="0" bestFit="1" customWidth="1"/>
    <col min="6150" max="6150" width="15.125" style="0" customWidth="1"/>
    <col min="6151" max="6151" width="31.375" style="0" customWidth="1"/>
    <col min="6152" max="6155" width="9.125" style="0" customWidth="1"/>
    <col min="6156" max="6156" width="22.25390625" style="0" customWidth="1"/>
    <col min="6401" max="6401" width="19.75390625" style="0" customWidth="1"/>
    <col min="6402" max="6402" width="4.375" style="0" customWidth="1"/>
    <col min="6403" max="6403" width="26.375" style="0" customWidth="1"/>
    <col min="6404" max="6404" width="9.625" style="0" bestFit="1" customWidth="1"/>
    <col min="6406" max="6406" width="15.125" style="0" customWidth="1"/>
    <col min="6407" max="6407" width="31.375" style="0" customWidth="1"/>
    <col min="6408" max="6411" width="9.125" style="0" customWidth="1"/>
    <col min="6412" max="6412" width="22.25390625" style="0" customWidth="1"/>
    <col min="6657" max="6657" width="19.75390625" style="0" customWidth="1"/>
    <col min="6658" max="6658" width="4.375" style="0" customWidth="1"/>
    <col min="6659" max="6659" width="26.375" style="0" customWidth="1"/>
    <col min="6660" max="6660" width="9.625" style="0" bestFit="1" customWidth="1"/>
    <col min="6662" max="6662" width="15.125" style="0" customWidth="1"/>
    <col min="6663" max="6663" width="31.375" style="0" customWidth="1"/>
    <col min="6664" max="6667" width="9.125" style="0" customWidth="1"/>
    <col min="6668" max="6668" width="22.25390625" style="0" customWidth="1"/>
    <col min="6913" max="6913" width="19.75390625" style="0" customWidth="1"/>
    <col min="6914" max="6914" width="4.375" style="0" customWidth="1"/>
    <col min="6915" max="6915" width="26.375" style="0" customWidth="1"/>
    <col min="6916" max="6916" width="9.625" style="0" bestFit="1" customWidth="1"/>
    <col min="6918" max="6918" width="15.125" style="0" customWidth="1"/>
    <col min="6919" max="6919" width="31.375" style="0" customWidth="1"/>
    <col min="6920" max="6923" width="9.125" style="0" customWidth="1"/>
    <col min="6924" max="6924" width="22.25390625" style="0" customWidth="1"/>
    <col min="7169" max="7169" width="19.75390625" style="0" customWidth="1"/>
    <col min="7170" max="7170" width="4.375" style="0" customWidth="1"/>
    <col min="7171" max="7171" width="26.375" style="0" customWidth="1"/>
    <col min="7172" max="7172" width="9.625" style="0" bestFit="1" customWidth="1"/>
    <col min="7174" max="7174" width="15.125" style="0" customWidth="1"/>
    <col min="7175" max="7175" width="31.375" style="0" customWidth="1"/>
    <col min="7176" max="7179" width="9.125" style="0" customWidth="1"/>
    <col min="7180" max="7180" width="22.25390625" style="0" customWidth="1"/>
    <col min="7425" max="7425" width="19.75390625" style="0" customWidth="1"/>
    <col min="7426" max="7426" width="4.375" style="0" customWidth="1"/>
    <col min="7427" max="7427" width="26.375" style="0" customWidth="1"/>
    <col min="7428" max="7428" width="9.625" style="0" bestFit="1" customWidth="1"/>
    <col min="7430" max="7430" width="15.125" style="0" customWidth="1"/>
    <col min="7431" max="7431" width="31.375" style="0" customWidth="1"/>
    <col min="7432" max="7435" width="9.125" style="0" customWidth="1"/>
    <col min="7436" max="7436" width="22.25390625" style="0" customWidth="1"/>
    <col min="7681" max="7681" width="19.75390625" style="0" customWidth="1"/>
    <col min="7682" max="7682" width="4.375" style="0" customWidth="1"/>
    <col min="7683" max="7683" width="26.375" style="0" customWidth="1"/>
    <col min="7684" max="7684" width="9.625" style="0" bestFit="1" customWidth="1"/>
    <col min="7686" max="7686" width="15.125" style="0" customWidth="1"/>
    <col min="7687" max="7687" width="31.375" style="0" customWidth="1"/>
    <col min="7688" max="7691" width="9.125" style="0" customWidth="1"/>
    <col min="7692" max="7692" width="22.25390625" style="0" customWidth="1"/>
    <col min="7937" max="7937" width="19.75390625" style="0" customWidth="1"/>
    <col min="7938" max="7938" width="4.375" style="0" customWidth="1"/>
    <col min="7939" max="7939" width="26.375" style="0" customWidth="1"/>
    <col min="7940" max="7940" width="9.625" style="0" bestFit="1" customWidth="1"/>
    <col min="7942" max="7942" width="15.125" style="0" customWidth="1"/>
    <col min="7943" max="7943" width="31.375" style="0" customWidth="1"/>
    <col min="7944" max="7947" width="9.125" style="0" customWidth="1"/>
    <col min="7948" max="7948" width="22.25390625" style="0" customWidth="1"/>
    <col min="8193" max="8193" width="19.75390625" style="0" customWidth="1"/>
    <col min="8194" max="8194" width="4.375" style="0" customWidth="1"/>
    <col min="8195" max="8195" width="26.375" style="0" customWidth="1"/>
    <col min="8196" max="8196" width="9.625" style="0" bestFit="1" customWidth="1"/>
    <col min="8198" max="8198" width="15.125" style="0" customWidth="1"/>
    <col min="8199" max="8199" width="31.375" style="0" customWidth="1"/>
    <col min="8200" max="8203" width="9.125" style="0" customWidth="1"/>
    <col min="8204" max="8204" width="22.25390625" style="0" customWidth="1"/>
    <col min="8449" max="8449" width="19.75390625" style="0" customWidth="1"/>
    <col min="8450" max="8450" width="4.375" style="0" customWidth="1"/>
    <col min="8451" max="8451" width="26.375" style="0" customWidth="1"/>
    <col min="8452" max="8452" width="9.625" style="0" bestFit="1" customWidth="1"/>
    <col min="8454" max="8454" width="15.125" style="0" customWidth="1"/>
    <col min="8455" max="8455" width="31.375" style="0" customWidth="1"/>
    <col min="8456" max="8459" width="9.125" style="0" customWidth="1"/>
    <col min="8460" max="8460" width="22.25390625" style="0" customWidth="1"/>
    <col min="8705" max="8705" width="19.75390625" style="0" customWidth="1"/>
    <col min="8706" max="8706" width="4.375" style="0" customWidth="1"/>
    <col min="8707" max="8707" width="26.375" style="0" customWidth="1"/>
    <col min="8708" max="8708" width="9.625" style="0" bestFit="1" customWidth="1"/>
    <col min="8710" max="8710" width="15.125" style="0" customWidth="1"/>
    <col min="8711" max="8711" width="31.375" style="0" customWidth="1"/>
    <col min="8712" max="8715" width="9.125" style="0" customWidth="1"/>
    <col min="8716" max="8716" width="22.25390625" style="0" customWidth="1"/>
    <col min="8961" max="8961" width="19.75390625" style="0" customWidth="1"/>
    <col min="8962" max="8962" width="4.375" style="0" customWidth="1"/>
    <col min="8963" max="8963" width="26.375" style="0" customWidth="1"/>
    <col min="8964" max="8964" width="9.625" style="0" bestFit="1" customWidth="1"/>
    <col min="8966" max="8966" width="15.125" style="0" customWidth="1"/>
    <col min="8967" max="8967" width="31.375" style="0" customWidth="1"/>
    <col min="8968" max="8971" width="9.125" style="0" customWidth="1"/>
    <col min="8972" max="8972" width="22.25390625" style="0" customWidth="1"/>
    <col min="9217" max="9217" width="19.75390625" style="0" customWidth="1"/>
    <col min="9218" max="9218" width="4.375" style="0" customWidth="1"/>
    <col min="9219" max="9219" width="26.375" style="0" customWidth="1"/>
    <col min="9220" max="9220" width="9.625" style="0" bestFit="1" customWidth="1"/>
    <col min="9222" max="9222" width="15.125" style="0" customWidth="1"/>
    <col min="9223" max="9223" width="31.375" style="0" customWidth="1"/>
    <col min="9224" max="9227" width="9.125" style="0" customWidth="1"/>
    <col min="9228" max="9228" width="22.25390625" style="0" customWidth="1"/>
    <col min="9473" max="9473" width="19.75390625" style="0" customWidth="1"/>
    <col min="9474" max="9474" width="4.375" style="0" customWidth="1"/>
    <col min="9475" max="9475" width="26.375" style="0" customWidth="1"/>
    <col min="9476" max="9476" width="9.625" style="0" bestFit="1" customWidth="1"/>
    <col min="9478" max="9478" width="15.125" style="0" customWidth="1"/>
    <col min="9479" max="9479" width="31.375" style="0" customWidth="1"/>
    <col min="9480" max="9483" width="9.125" style="0" customWidth="1"/>
    <col min="9484" max="9484" width="22.25390625" style="0" customWidth="1"/>
    <col min="9729" max="9729" width="19.75390625" style="0" customWidth="1"/>
    <col min="9730" max="9730" width="4.375" style="0" customWidth="1"/>
    <col min="9731" max="9731" width="26.375" style="0" customWidth="1"/>
    <col min="9732" max="9732" width="9.625" style="0" bestFit="1" customWidth="1"/>
    <col min="9734" max="9734" width="15.125" style="0" customWidth="1"/>
    <col min="9735" max="9735" width="31.375" style="0" customWidth="1"/>
    <col min="9736" max="9739" width="9.125" style="0" customWidth="1"/>
    <col min="9740" max="9740" width="22.25390625" style="0" customWidth="1"/>
    <col min="9985" max="9985" width="19.75390625" style="0" customWidth="1"/>
    <col min="9986" max="9986" width="4.375" style="0" customWidth="1"/>
    <col min="9987" max="9987" width="26.375" style="0" customWidth="1"/>
    <col min="9988" max="9988" width="9.625" style="0" bestFit="1" customWidth="1"/>
    <col min="9990" max="9990" width="15.125" style="0" customWidth="1"/>
    <col min="9991" max="9991" width="31.375" style="0" customWidth="1"/>
    <col min="9992" max="9995" width="9.125" style="0" customWidth="1"/>
    <col min="9996" max="9996" width="22.25390625" style="0" customWidth="1"/>
    <col min="10241" max="10241" width="19.75390625" style="0" customWidth="1"/>
    <col min="10242" max="10242" width="4.375" style="0" customWidth="1"/>
    <col min="10243" max="10243" width="26.375" style="0" customWidth="1"/>
    <col min="10244" max="10244" width="9.625" style="0" bestFit="1" customWidth="1"/>
    <col min="10246" max="10246" width="15.125" style="0" customWidth="1"/>
    <col min="10247" max="10247" width="31.375" style="0" customWidth="1"/>
    <col min="10248" max="10251" width="9.125" style="0" customWidth="1"/>
    <col min="10252" max="10252" width="22.25390625" style="0" customWidth="1"/>
    <col min="10497" max="10497" width="19.75390625" style="0" customWidth="1"/>
    <col min="10498" max="10498" width="4.375" style="0" customWidth="1"/>
    <col min="10499" max="10499" width="26.375" style="0" customWidth="1"/>
    <col min="10500" max="10500" width="9.625" style="0" bestFit="1" customWidth="1"/>
    <col min="10502" max="10502" width="15.125" style="0" customWidth="1"/>
    <col min="10503" max="10503" width="31.375" style="0" customWidth="1"/>
    <col min="10504" max="10507" width="9.125" style="0" customWidth="1"/>
    <col min="10508" max="10508" width="22.25390625" style="0" customWidth="1"/>
    <col min="10753" max="10753" width="19.75390625" style="0" customWidth="1"/>
    <col min="10754" max="10754" width="4.375" style="0" customWidth="1"/>
    <col min="10755" max="10755" width="26.375" style="0" customWidth="1"/>
    <col min="10756" max="10756" width="9.625" style="0" bestFit="1" customWidth="1"/>
    <col min="10758" max="10758" width="15.125" style="0" customWidth="1"/>
    <col min="10759" max="10759" width="31.375" style="0" customWidth="1"/>
    <col min="10760" max="10763" width="9.125" style="0" customWidth="1"/>
    <col min="10764" max="10764" width="22.25390625" style="0" customWidth="1"/>
    <col min="11009" max="11009" width="19.75390625" style="0" customWidth="1"/>
    <col min="11010" max="11010" width="4.375" style="0" customWidth="1"/>
    <col min="11011" max="11011" width="26.375" style="0" customWidth="1"/>
    <col min="11012" max="11012" width="9.625" style="0" bestFit="1" customWidth="1"/>
    <col min="11014" max="11014" width="15.125" style="0" customWidth="1"/>
    <col min="11015" max="11015" width="31.375" style="0" customWidth="1"/>
    <col min="11016" max="11019" width="9.125" style="0" customWidth="1"/>
    <col min="11020" max="11020" width="22.25390625" style="0" customWidth="1"/>
    <col min="11265" max="11265" width="19.75390625" style="0" customWidth="1"/>
    <col min="11266" max="11266" width="4.375" style="0" customWidth="1"/>
    <col min="11267" max="11267" width="26.375" style="0" customWidth="1"/>
    <col min="11268" max="11268" width="9.625" style="0" bestFit="1" customWidth="1"/>
    <col min="11270" max="11270" width="15.125" style="0" customWidth="1"/>
    <col min="11271" max="11271" width="31.375" style="0" customWidth="1"/>
    <col min="11272" max="11275" width="9.125" style="0" customWidth="1"/>
    <col min="11276" max="11276" width="22.25390625" style="0" customWidth="1"/>
    <col min="11521" max="11521" width="19.75390625" style="0" customWidth="1"/>
    <col min="11522" max="11522" width="4.375" style="0" customWidth="1"/>
    <col min="11523" max="11523" width="26.375" style="0" customWidth="1"/>
    <col min="11524" max="11524" width="9.625" style="0" bestFit="1" customWidth="1"/>
    <col min="11526" max="11526" width="15.125" style="0" customWidth="1"/>
    <col min="11527" max="11527" width="31.375" style="0" customWidth="1"/>
    <col min="11528" max="11531" width="9.125" style="0" customWidth="1"/>
    <col min="11532" max="11532" width="22.25390625" style="0" customWidth="1"/>
    <col min="11777" max="11777" width="19.75390625" style="0" customWidth="1"/>
    <col min="11778" max="11778" width="4.375" style="0" customWidth="1"/>
    <col min="11779" max="11779" width="26.375" style="0" customWidth="1"/>
    <col min="11780" max="11780" width="9.625" style="0" bestFit="1" customWidth="1"/>
    <col min="11782" max="11782" width="15.125" style="0" customWidth="1"/>
    <col min="11783" max="11783" width="31.375" style="0" customWidth="1"/>
    <col min="11784" max="11787" width="9.125" style="0" customWidth="1"/>
    <col min="11788" max="11788" width="22.25390625" style="0" customWidth="1"/>
    <col min="12033" max="12033" width="19.75390625" style="0" customWidth="1"/>
    <col min="12034" max="12034" width="4.375" style="0" customWidth="1"/>
    <col min="12035" max="12035" width="26.375" style="0" customWidth="1"/>
    <col min="12036" max="12036" width="9.625" style="0" bestFit="1" customWidth="1"/>
    <col min="12038" max="12038" width="15.125" style="0" customWidth="1"/>
    <col min="12039" max="12039" width="31.375" style="0" customWidth="1"/>
    <col min="12040" max="12043" width="9.125" style="0" customWidth="1"/>
    <col min="12044" max="12044" width="22.25390625" style="0" customWidth="1"/>
    <col min="12289" max="12289" width="19.75390625" style="0" customWidth="1"/>
    <col min="12290" max="12290" width="4.375" style="0" customWidth="1"/>
    <col min="12291" max="12291" width="26.375" style="0" customWidth="1"/>
    <col min="12292" max="12292" width="9.625" style="0" bestFit="1" customWidth="1"/>
    <col min="12294" max="12294" width="15.125" style="0" customWidth="1"/>
    <col min="12295" max="12295" width="31.375" style="0" customWidth="1"/>
    <col min="12296" max="12299" width="9.125" style="0" customWidth="1"/>
    <col min="12300" max="12300" width="22.25390625" style="0" customWidth="1"/>
    <col min="12545" max="12545" width="19.75390625" style="0" customWidth="1"/>
    <col min="12546" max="12546" width="4.375" style="0" customWidth="1"/>
    <col min="12547" max="12547" width="26.375" style="0" customWidth="1"/>
    <col min="12548" max="12548" width="9.625" style="0" bestFit="1" customWidth="1"/>
    <col min="12550" max="12550" width="15.125" style="0" customWidth="1"/>
    <col min="12551" max="12551" width="31.375" style="0" customWidth="1"/>
    <col min="12552" max="12555" width="9.125" style="0" customWidth="1"/>
    <col min="12556" max="12556" width="22.25390625" style="0" customWidth="1"/>
    <col min="12801" max="12801" width="19.75390625" style="0" customWidth="1"/>
    <col min="12802" max="12802" width="4.375" style="0" customWidth="1"/>
    <col min="12803" max="12803" width="26.375" style="0" customWidth="1"/>
    <col min="12804" max="12804" width="9.625" style="0" bestFit="1" customWidth="1"/>
    <col min="12806" max="12806" width="15.125" style="0" customWidth="1"/>
    <col min="12807" max="12807" width="31.375" style="0" customWidth="1"/>
    <col min="12808" max="12811" width="9.125" style="0" customWidth="1"/>
    <col min="12812" max="12812" width="22.25390625" style="0" customWidth="1"/>
    <col min="13057" max="13057" width="19.75390625" style="0" customWidth="1"/>
    <col min="13058" max="13058" width="4.375" style="0" customWidth="1"/>
    <col min="13059" max="13059" width="26.375" style="0" customWidth="1"/>
    <col min="13060" max="13060" width="9.625" style="0" bestFit="1" customWidth="1"/>
    <col min="13062" max="13062" width="15.125" style="0" customWidth="1"/>
    <col min="13063" max="13063" width="31.375" style="0" customWidth="1"/>
    <col min="13064" max="13067" width="9.125" style="0" customWidth="1"/>
    <col min="13068" max="13068" width="22.25390625" style="0" customWidth="1"/>
    <col min="13313" max="13313" width="19.75390625" style="0" customWidth="1"/>
    <col min="13314" max="13314" width="4.375" style="0" customWidth="1"/>
    <col min="13315" max="13315" width="26.375" style="0" customWidth="1"/>
    <col min="13316" max="13316" width="9.625" style="0" bestFit="1" customWidth="1"/>
    <col min="13318" max="13318" width="15.125" style="0" customWidth="1"/>
    <col min="13319" max="13319" width="31.375" style="0" customWidth="1"/>
    <col min="13320" max="13323" width="9.125" style="0" customWidth="1"/>
    <col min="13324" max="13324" width="22.25390625" style="0" customWidth="1"/>
    <col min="13569" max="13569" width="19.75390625" style="0" customWidth="1"/>
    <col min="13570" max="13570" width="4.375" style="0" customWidth="1"/>
    <col min="13571" max="13571" width="26.375" style="0" customWidth="1"/>
    <col min="13572" max="13572" width="9.625" style="0" bestFit="1" customWidth="1"/>
    <col min="13574" max="13574" width="15.125" style="0" customWidth="1"/>
    <col min="13575" max="13575" width="31.375" style="0" customWidth="1"/>
    <col min="13576" max="13579" width="9.125" style="0" customWidth="1"/>
    <col min="13580" max="13580" width="22.25390625" style="0" customWidth="1"/>
    <col min="13825" max="13825" width="19.75390625" style="0" customWidth="1"/>
    <col min="13826" max="13826" width="4.375" style="0" customWidth="1"/>
    <col min="13827" max="13827" width="26.375" style="0" customWidth="1"/>
    <col min="13828" max="13828" width="9.625" style="0" bestFit="1" customWidth="1"/>
    <col min="13830" max="13830" width="15.125" style="0" customWidth="1"/>
    <col min="13831" max="13831" width="31.375" style="0" customWidth="1"/>
    <col min="13832" max="13835" width="9.125" style="0" customWidth="1"/>
    <col min="13836" max="13836" width="22.25390625" style="0" customWidth="1"/>
    <col min="14081" max="14081" width="19.75390625" style="0" customWidth="1"/>
    <col min="14082" max="14082" width="4.375" style="0" customWidth="1"/>
    <col min="14083" max="14083" width="26.375" style="0" customWidth="1"/>
    <col min="14084" max="14084" width="9.625" style="0" bestFit="1" customWidth="1"/>
    <col min="14086" max="14086" width="15.125" style="0" customWidth="1"/>
    <col min="14087" max="14087" width="31.375" style="0" customWidth="1"/>
    <col min="14088" max="14091" width="9.125" style="0" customWidth="1"/>
    <col min="14092" max="14092" width="22.25390625" style="0" customWidth="1"/>
    <col min="14337" max="14337" width="19.75390625" style="0" customWidth="1"/>
    <col min="14338" max="14338" width="4.375" style="0" customWidth="1"/>
    <col min="14339" max="14339" width="26.375" style="0" customWidth="1"/>
    <col min="14340" max="14340" width="9.625" style="0" bestFit="1" customWidth="1"/>
    <col min="14342" max="14342" width="15.125" style="0" customWidth="1"/>
    <col min="14343" max="14343" width="31.375" style="0" customWidth="1"/>
    <col min="14344" max="14347" width="9.125" style="0" customWidth="1"/>
    <col min="14348" max="14348" width="22.25390625" style="0" customWidth="1"/>
    <col min="14593" max="14593" width="19.75390625" style="0" customWidth="1"/>
    <col min="14594" max="14594" width="4.375" style="0" customWidth="1"/>
    <col min="14595" max="14595" width="26.375" style="0" customWidth="1"/>
    <col min="14596" max="14596" width="9.625" style="0" bestFit="1" customWidth="1"/>
    <col min="14598" max="14598" width="15.125" style="0" customWidth="1"/>
    <col min="14599" max="14599" width="31.375" style="0" customWidth="1"/>
    <col min="14600" max="14603" width="9.125" style="0" customWidth="1"/>
    <col min="14604" max="14604" width="22.25390625" style="0" customWidth="1"/>
    <col min="14849" max="14849" width="19.75390625" style="0" customWidth="1"/>
    <col min="14850" max="14850" width="4.375" style="0" customWidth="1"/>
    <col min="14851" max="14851" width="26.375" style="0" customWidth="1"/>
    <col min="14852" max="14852" width="9.625" style="0" bestFit="1" customWidth="1"/>
    <col min="14854" max="14854" width="15.125" style="0" customWidth="1"/>
    <col min="14855" max="14855" width="31.375" style="0" customWidth="1"/>
    <col min="14856" max="14859" width="9.125" style="0" customWidth="1"/>
    <col min="14860" max="14860" width="22.25390625" style="0" customWidth="1"/>
    <col min="15105" max="15105" width="19.75390625" style="0" customWidth="1"/>
    <col min="15106" max="15106" width="4.375" style="0" customWidth="1"/>
    <col min="15107" max="15107" width="26.375" style="0" customWidth="1"/>
    <col min="15108" max="15108" width="9.625" style="0" bestFit="1" customWidth="1"/>
    <col min="15110" max="15110" width="15.125" style="0" customWidth="1"/>
    <col min="15111" max="15111" width="31.375" style="0" customWidth="1"/>
    <col min="15112" max="15115" width="9.125" style="0" customWidth="1"/>
    <col min="15116" max="15116" width="22.25390625" style="0" customWidth="1"/>
    <col min="15361" max="15361" width="19.75390625" style="0" customWidth="1"/>
    <col min="15362" max="15362" width="4.375" style="0" customWidth="1"/>
    <col min="15363" max="15363" width="26.375" style="0" customWidth="1"/>
    <col min="15364" max="15364" width="9.625" style="0" bestFit="1" customWidth="1"/>
    <col min="15366" max="15366" width="15.125" style="0" customWidth="1"/>
    <col min="15367" max="15367" width="31.375" style="0" customWidth="1"/>
    <col min="15368" max="15371" width="9.125" style="0" customWidth="1"/>
    <col min="15372" max="15372" width="22.25390625" style="0" customWidth="1"/>
    <col min="15617" max="15617" width="19.75390625" style="0" customWidth="1"/>
    <col min="15618" max="15618" width="4.375" style="0" customWidth="1"/>
    <col min="15619" max="15619" width="26.375" style="0" customWidth="1"/>
    <col min="15620" max="15620" width="9.625" style="0" bestFit="1" customWidth="1"/>
    <col min="15622" max="15622" width="15.125" style="0" customWidth="1"/>
    <col min="15623" max="15623" width="31.375" style="0" customWidth="1"/>
    <col min="15624" max="15627" width="9.125" style="0" customWidth="1"/>
    <col min="15628" max="15628" width="22.25390625" style="0" customWidth="1"/>
    <col min="15873" max="15873" width="19.75390625" style="0" customWidth="1"/>
    <col min="15874" max="15874" width="4.375" style="0" customWidth="1"/>
    <col min="15875" max="15875" width="26.375" style="0" customWidth="1"/>
    <col min="15876" max="15876" width="9.625" style="0" bestFit="1" customWidth="1"/>
    <col min="15878" max="15878" width="15.125" style="0" customWidth="1"/>
    <col min="15879" max="15879" width="31.375" style="0" customWidth="1"/>
    <col min="15880" max="15883" width="9.125" style="0" customWidth="1"/>
    <col min="15884" max="15884" width="22.25390625" style="0" customWidth="1"/>
    <col min="16129" max="16129" width="19.75390625" style="0" customWidth="1"/>
    <col min="16130" max="16130" width="4.375" style="0" customWidth="1"/>
    <col min="16131" max="16131" width="26.375" style="0" customWidth="1"/>
    <col min="16132" max="16132" width="9.625" style="0" bestFit="1" customWidth="1"/>
    <col min="16134" max="16134" width="15.125" style="0" customWidth="1"/>
    <col min="16135" max="16135" width="31.375" style="0" customWidth="1"/>
    <col min="16136" max="16139" width="9.125" style="0" customWidth="1"/>
    <col min="16140" max="16140" width="22.25390625" style="0" customWidth="1"/>
  </cols>
  <sheetData>
    <row r="2" spans="2:12" ht="15.75" customHeight="1">
      <c r="B2" s="109"/>
      <c r="C2" s="29"/>
      <c r="D2" s="2185" t="s">
        <v>126</v>
      </c>
      <c r="E2" s="2185"/>
      <c r="F2" s="2185"/>
      <c r="G2" s="2185"/>
      <c r="H2" s="29"/>
      <c r="I2" s="29"/>
      <c r="J2" s="2140"/>
      <c r="K2" s="2140"/>
      <c r="L2" s="2140"/>
    </row>
    <row r="3" spans="2:12" ht="15.75">
      <c r="B3" s="109"/>
      <c r="C3" s="29"/>
      <c r="D3" s="2185"/>
      <c r="E3" s="2185"/>
      <c r="F3" s="2185"/>
      <c r="G3" s="2185"/>
      <c r="H3" s="29"/>
      <c r="I3" s="29"/>
      <c r="J3" s="2140"/>
      <c r="K3" s="2140"/>
      <c r="L3" s="2140"/>
    </row>
    <row r="4" spans="2:12" ht="15.75">
      <c r="B4" s="109"/>
      <c r="C4" s="29"/>
      <c r="D4" s="2185"/>
      <c r="E4" s="2185"/>
      <c r="F4" s="2185"/>
      <c r="G4" s="2185"/>
      <c r="H4" s="29"/>
      <c r="I4" s="29"/>
      <c r="J4" s="2140"/>
      <c r="K4" s="2140"/>
      <c r="L4" s="2140"/>
    </row>
    <row r="5" spans="2:12" ht="15.75">
      <c r="B5" s="109"/>
      <c r="C5" s="29"/>
      <c r="D5" s="2185"/>
      <c r="E5" s="2185"/>
      <c r="F5" s="2185"/>
      <c r="G5" s="2185"/>
      <c r="H5" s="29"/>
      <c r="I5" s="29"/>
      <c r="J5" s="2140"/>
      <c r="K5" s="2140"/>
      <c r="L5" s="2140"/>
    </row>
    <row r="6" spans="2:12" ht="26.25" customHeight="1">
      <c r="B6" s="844"/>
      <c r="C6" s="29"/>
      <c r="D6" s="846"/>
      <c r="E6" s="846"/>
      <c r="F6" s="846"/>
      <c r="G6" s="846"/>
      <c r="H6" s="29"/>
      <c r="I6" s="29"/>
      <c r="J6" s="841"/>
      <c r="K6" s="841"/>
      <c r="L6" s="841"/>
    </row>
    <row r="7" spans="2:12" ht="15.75">
      <c r="B7" s="2155" t="s">
        <v>43</v>
      </c>
      <c r="C7" s="2155"/>
      <c r="D7" s="2155"/>
      <c r="E7" s="2155"/>
      <c r="F7" s="2155"/>
      <c r="G7" s="2155"/>
      <c r="H7" s="118"/>
      <c r="I7" s="118"/>
      <c r="J7" s="118"/>
      <c r="K7" s="118"/>
      <c r="L7" s="118"/>
    </row>
    <row r="8" spans="2:12" ht="15.75">
      <c r="B8" s="1903" t="s">
        <v>302</v>
      </c>
      <c r="C8" s="1903"/>
      <c r="D8" s="1903"/>
      <c r="E8" s="1903"/>
      <c r="F8" s="1903"/>
      <c r="G8" s="1903"/>
      <c r="H8" s="119"/>
      <c r="I8" s="119"/>
      <c r="J8" s="119"/>
      <c r="K8" s="119"/>
      <c r="L8" s="119"/>
    </row>
    <row r="9" spans="2:13" ht="15.75">
      <c r="B9" s="120"/>
      <c r="C9" s="2186" t="s">
        <v>2</v>
      </c>
      <c r="D9" s="2186"/>
      <c r="E9" s="2186"/>
      <c r="F9" s="2186"/>
      <c r="G9" s="2186"/>
      <c r="H9" s="121"/>
      <c r="I9" s="122" t="s">
        <v>127</v>
      </c>
      <c r="J9" s="123"/>
      <c r="K9" s="124"/>
      <c r="L9" s="125"/>
      <c r="M9" s="20"/>
    </row>
    <row r="10" spans="2:13" ht="16.5" thickBot="1">
      <c r="B10" s="120"/>
      <c r="C10" s="126"/>
      <c r="D10" s="126"/>
      <c r="E10" s="126"/>
      <c r="F10" s="126"/>
      <c r="G10" s="126"/>
      <c r="H10" s="121"/>
      <c r="I10" s="122"/>
      <c r="J10" s="123"/>
      <c r="K10" s="124"/>
      <c r="L10" s="125"/>
      <c r="M10" s="20"/>
    </row>
    <row r="11" spans="2:13" ht="15.75">
      <c r="B11" s="127" t="s">
        <v>128</v>
      </c>
      <c r="C11" s="2187" t="s">
        <v>6</v>
      </c>
      <c r="D11" s="2189" t="s">
        <v>129</v>
      </c>
      <c r="E11" s="2191" t="s">
        <v>130</v>
      </c>
      <c r="F11" s="2193" t="s">
        <v>131</v>
      </c>
      <c r="G11" s="2195" t="s">
        <v>132</v>
      </c>
      <c r="H11" s="2179" t="s">
        <v>129</v>
      </c>
      <c r="I11" s="2181" t="s">
        <v>130</v>
      </c>
      <c r="J11" s="2179" t="s">
        <v>133</v>
      </c>
      <c r="K11" s="2181" t="s">
        <v>134</v>
      </c>
      <c r="L11" s="2183" t="s">
        <v>132</v>
      </c>
      <c r="M11" s="20"/>
    </row>
    <row r="12" spans="2:13" ht="16.5" thickBot="1">
      <c r="B12" s="128" t="s">
        <v>135</v>
      </c>
      <c r="C12" s="2188"/>
      <c r="D12" s="2190"/>
      <c r="E12" s="2192"/>
      <c r="F12" s="2194"/>
      <c r="G12" s="2196"/>
      <c r="H12" s="2180"/>
      <c r="I12" s="2182"/>
      <c r="J12" s="2180"/>
      <c r="K12" s="2182"/>
      <c r="L12" s="2184"/>
      <c r="M12" s="20"/>
    </row>
    <row r="13" spans="2:13" ht="15.75">
      <c r="B13" s="129">
        <f>1</f>
        <v>1</v>
      </c>
      <c r="C13" s="130" t="s">
        <v>312</v>
      </c>
      <c r="D13" s="131">
        <v>2</v>
      </c>
      <c r="E13" s="132">
        <v>4</v>
      </c>
      <c r="F13" s="133">
        <f aca="true" t="shared" si="0" ref="F13:F30">E13*4.78922</f>
        <v>19.15688</v>
      </c>
      <c r="G13" s="134" t="s">
        <v>331</v>
      </c>
      <c r="H13" s="135"/>
      <c r="I13" s="136"/>
      <c r="J13" s="137"/>
      <c r="K13" s="138"/>
      <c r="L13" s="141"/>
      <c r="M13" s="20"/>
    </row>
    <row r="14" spans="2:13" ht="15.75">
      <c r="B14" s="129">
        <f>B13+1</f>
        <v>2</v>
      </c>
      <c r="C14" s="130" t="s">
        <v>79</v>
      </c>
      <c r="D14" s="131">
        <v>1</v>
      </c>
      <c r="E14" s="132">
        <v>2</v>
      </c>
      <c r="F14" s="133">
        <f t="shared" si="0"/>
        <v>9.57844</v>
      </c>
      <c r="G14" s="140" t="s">
        <v>448</v>
      </c>
      <c r="H14" s="135"/>
      <c r="I14" s="136"/>
      <c r="J14" s="137"/>
      <c r="K14" s="138"/>
      <c r="L14" s="139"/>
      <c r="M14" s="20"/>
    </row>
    <row r="15" spans="2:13" ht="15.75">
      <c r="B15" s="129">
        <f aca="true" t="shared" si="1" ref="B15:B32">B14+1</f>
        <v>3</v>
      </c>
      <c r="C15" s="130" t="s">
        <v>136</v>
      </c>
      <c r="D15" s="131">
        <v>1</v>
      </c>
      <c r="E15" s="132">
        <v>2</v>
      </c>
      <c r="F15" s="133">
        <f t="shared" si="0"/>
        <v>9.57844</v>
      </c>
      <c r="G15" s="140" t="s">
        <v>448</v>
      </c>
      <c r="H15" s="135"/>
      <c r="I15" s="136"/>
      <c r="J15" s="137"/>
      <c r="K15" s="138"/>
      <c r="L15" s="139"/>
      <c r="M15" s="20"/>
    </row>
    <row r="16" spans="2:13" ht="15.75">
      <c r="B16" s="129">
        <f t="shared" si="1"/>
        <v>4</v>
      </c>
      <c r="C16" s="130" t="s">
        <v>83</v>
      </c>
      <c r="D16" s="825">
        <v>2</v>
      </c>
      <c r="E16" s="826">
        <v>15</v>
      </c>
      <c r="F16" s="133">
        <f t="shared" si="0"/>
        <v>71.8383</v>
      </c>
      <c r="G16" s="827" t="s">
        <v>587</v>
      </c>
      <c r="H16" s="135"/>
      <c r="I16" s="136"/>
      <c r="J16" s="137"/>
      <c r="K16" s="138"/>
      <c r="L16" s="139"/>
      <c r="M16" s="20"/>
    </row>
    <row r="17" spans="2:13" ht="15.75">
      <c r="B17" s="129">
        <f t="shared" si="1"/>
        <v>5</v>
      </c>
      <c r="C17" s="130" t="s">
        <v>88</v>
      </c>
      <c r="D17" s="131">
        <v>1</v>
      </c>
      <c r="E17" s="132">
        <v>3</v>
      </c>
      <c r="F17" s="133">
        <f t="shared" si="0"/>
        <v>14.36766</v>
      </c>
      <c r="G17" s="140" t="s">
        <v>600</v>
      </c>
      <c r="H17" s="135"/>
      <c r="I17" s="136"/>
      <c r="J17" s="137"/>
      <c r="K17" s="138"/>
      <c r="L17" s="139"/>
      <c r="M17" s="20"/>
    </row>
    <row r="18" spans="2:13" ht="15.75">
      <c r="B18" s="129">
        <f t="shared" si="1"/>
        <v>6</v>
      </c>
      <c r="C18" s="130" t="s">
        <v>138</v>
      </c>
      <c r="D18" s="131">
        <v>4</v>
      </c>
      <c r="E18" s="132">
        <v>6</v>
      </c>
      <c r="F18" s="133">
        <f t="shared" si="0"/>
        <v>28.73532</v>
      </c>
      <c r="G18" s="140" t="s">
        <v>551</v>
      </c>
      <c r="H18" s="135"/>
      <c r="I18" s="136"/>
      <c r="J18" s="137"/>
      <c r="K18" s="138"/>
      <c r="L18" s="139"/>
      <c r="M18" s="20"/>
    </row>
    <row r="19" spans="2:13" ht="15.75">
      <c r="B19" s="129">
        <f t="shared" si="1"/>
        <v>7</v>
      </c>
      <c r="C19" s="130" t="s">
        <v>265</v>
      </c>
      <c r="D19" s="131">
        <v>1</v>
      </c>
      <c r="E19" s="132">
        <v>5</v>
      </c>
      <c r="F19" s="133">
        <f t="shared" si="0"/>
        <v>23.9461</v>
      </c>
      <c r="G19" s="140" t="s">
        <v>552</v>
      </c>
      <c r="H19" s="135"/>
      <c r="I19" s="136"/>
      <c r="J19" s="137"/>
      <c r="K19" s="138"/>
      <c r="L19" s="139"/>
      <c r="M19" s="20"/>
    </row>
    <row r="20" spans="2:13" ht="15.75">
      <c r="B20" s="129">
        <f t="shared" si="1"/>
        <v>8</v>
      </c>
      <c r="C20" s="130" t="s">
        <v>139</v>
      </c>
      <c r="D20" s="131">
        <v>6</v>
      </c>
      <c r="E20" s="132">
        <v>24</v>
      </c>
      <c r="F20" s="133">
        <f t="shared" si="0"/>
        <v>114.94128</v>
      </c>
      <c r="G20" s="145" t="s">
        <v>551</v>
      </c>
      <c r="H20" s="135"/>
      <c r="I20" s="136"/>
      <c r="J20" s="137"/>
      <c r="K20" s="138"/>
      <c r="L20" s="139"/>
      <c r="M20" s="20"/>
    </row>
    <row r="21" spans="2:13" ht="15.75">
      <c r="B21" s="129">
        <f t="shared" si="1"/>
        <v>9</v>
      </c>
      <c r="C21" s="130" t="s">
        <v>287</v>
      </c>
      <c r="D21" s="143">
        <v>1</v>
      </c>
      <c r="E21" s="144">
        <v>1</v>
      </c>
      <c r="F21" s="133">
        <f t="shared" si="0"/>
        <v>4.78922</v>
      </c>
      <c r="G21" s="145" t="s">
        <v>440</v>
      </c>
      <c r="H21" s="146"/>
      <c r="I21" s="147"/>
      <c r="J21" s="137"/>
      <c r="K21" s="148"/>
      <c r="L21" s="149"/>
      <c r="M21" s="20"/>
    </row>
    <row r="22" spans="2:13" ht="15.75">
      <c r="B22" s="129">
        <f t="shared" si="1"/>
        <v>10</v>
      </c>
      <c r="C22" s="130" t="s">
        <v>163</v>
      </c>
      <c r="D22" s="143">
        <v>1</v>
      </c>
      <c r="E22" s="144">
        <v>1</v>
      </c>
      <c r="F22" s="133">
        <f t="shared" si="0"/>
        <v>4.78922</v>
      </c>
      <c r="G22" s="145" t="s">
        <v>440</v>
      </c>
      <c r="H22" s="146"/>
      <c r="I22" s="147"/>
      <c r="J22" s="137"/>
      <c r="K22" s="148"/>
      <c r="L22" s="149"/>
      <c r="M22" s="20"/>
    </row>
    <row r="23" spans="2:13" ht="15.75">
      <c r="B23" s="129">
        <f t="shared" si="1"/>
        <v>11</v>
      </c>
      <c r="C23" s="150" t="s">
        <v>107</v>
      </c>
      <c r="D23" s="143">
        <v>1</v>
      </c>
      <c r="E23" s="144">
        <v>3</v>
      </c>
      <c r="F23" s="133">
        <f t="shared" si="0"/>
        <v>14.36766</v>
      </c>
      <c r="G23" s="145" t="s">
        <v>435</v>
      </c>
      <c r="H23" s="146"/>
      <c r="I23" s="147"/>
      <c r="J23" s="137"/>
      <c r="K23" s="148"/>
      <c r="L23" s="149"/>
      <c r="M23" s="20"/>
    </row>
    <row r="24" spans="2:13" ht="15.75">
      <c r="B24" s="129">
        <f t="shared" si="1"/>
        <v>12</v>
      </c>
      <c r="C24" s="150" t="s">
        <v>449</v>
      </c>
      <c r="D24" s="143">
        <v>1</v>
      </c>
      <c r="E24" s="144">
        <v>10</v>
      </c>
      <c r="F24" s="133">
        <f t="shared" si="0"/>
        <v>47.8922</v>
      </c>
      <c r="G24" s="142" t="s">
        <v>450</v>
      </c>
      <c r="H24" s="146"/>
      <c r="I24" s="147"/>
      <c r="J24" s="137"/>
      <c r="K24" s="148"/>
      <c r="L24" s="149"/>
      <c r="M24" s="20"/>
    </row>
    <row r="25" spans="2:13" ht="15.75">
      <c r="B25" s="129">
        <f t="shared" si="1"/>
        <v>13</v>
      </c>
      <c r="C25" s="150" t="s">
        <v>108</v>
      </c>
      <c r="D25" s="143">
        <v>1</v>
      </c>
      <c r="E25" s="144">
        <v>2</v>
      </c>
      <c r="F25" s="133">
        <f t="shared" si="0"/>
        <v>9.57844</v>
      </c>
      <c r="G25" s="145" t="s">
        <v>448</v>
      </c>
      <c r="H25" s="146"/>
      <c r="I25" s="147"/>
      <c r="J25" s="137"/>
      <c r="K25" s="148"/>
      <c r="L25" s="149"/>
      <c r="M25" s="20"/>
    </row>
    <row r="26" spans="2:13" ht="15.75">
      <c r="B26" s="129">
        <f t="shared" si="1"/>
        <v>14</v>
      </c>
      <c r="C26" s="150" t="s">
        <v>32</v>
      </c>
      <c r="D26" s="143">
        <v>4</v>
      </c>
      <c r="E26" s="144">
        <v>20</v>
      </c>
      <c r="F26" s="133">
        <f t="shared" si="0"/>
        <v>95.7844</v>
      </c>
      <c r="G26" s="145" t="s">
        <v>452</v>
      </c>
      <c r="H26" s="146"/>
      <c r="I26" s="147"/>
      <c r="J26" s="137"/>
      <c r="K26" s="148"/>
      <c r="L26" s="149"/>
      <c r="M26" s="20"/>
    </row>
    <row r="27" spans="2:13" ht="15.75">
      <c r="B27" s="129">
        <f t="shared" si="1"/>
        <v>15</v>
      </c>
      <c r="C27" s="150" t="s">
        <v>140</v>
      </c>
      <c r="D27" s="143">
        <v>1</v>
      </c>
      <c r="E27" s="144">
        <v>2</v>
      </c>
      <c r="F27" s="133">
        <v>9.57844</v>
      </c>
      <c r="G27" s="145" t="s">
        <v>715</v>
      </c>
      <c r="H27" s="146"/>
      <c r="I27" s="147"/>
      <c r="J27" s="137"/>
      <c r="K27" s="148"/>
      <c r="L27" s="149"/>
      <c r="M27" s="20"/>
    </row>
    <row r="28" spans="2:13" ht="15.75">
      <c r="B28" s="129">
        <f t="shared" si="1"/>
        <v>16</v>
      </c>
      <c r="C28" s="150" t="s">
        <v>91</v>
      </c>
      <c r="D28" s="143">
        <v>2</v>
      </c>
      <c r="E28" s="144">
        <v>24</v>
      </c>
      <c r="F28" s="133">
        <f t="shared" si="0"/>
        <v>114.94128</v>
      </c>
      <c r="G28" s="145" t="s">
        <v>572</v>
      </c>
      <c r="H28" s="146"/>
      <c r="I28" s="147"/>
      <c r="J28" s="137"/>
      <c r="K28" s="148"/>
      <c r="L28" s="149"/>
      <c r="M28" s="20"/>
    </row>
    <row r="29" spans="2:13" ht="30">
      <c r="B29" s="129">
        <f t="shared" si="1"/>
        <v>17</v>
      </c>
      <c r="C29" s="150" t="s">
        <v>35</v>
      </c>
      <c r="D29" s="143">
        <v>1</v>
      </c>
      <c r="E29" s="144">
        <v>4</v>
      </c>
      <c r="F29" s="133">
        <f t="shared" si="0"/>
        <v>19.15688</v>
      </c>
      <c r="G29" s="931" t="s">
        <v>363</v>
      </c>
      <c r="H29" s="146"/>
      <c r="I29" s="147"/>
      <c r="J29" s="137"/>
      <c r="K29" s="148"/>
      <c r="L29" s="149"/>
      <c r="M29" s="20"/>
    </row>
    <row r="30" spans="2:13" ht="16.5" thickBot="1">
      <c r="B30" s="129">
        <f t="shared" si="1"/>
        <v>18</v>
      </c>
      <c r="C30" s="150" t="s">
        <v>141</v>
      </c>
      <c r="D30" s="143">
        <v>1</v>
      </c>
      <c r="E30" s="144">
        <v>2</v>
      </c>
      <c r="F30" s="133">
        <f t="shared" si="0"/>
        <v>9.57844</v>
      </c>
      <c r="G30" s="145"/>
      <c r="H30" s="146"/>
      <c r="I30" s="147"/>
      <c r="J30" s="137"/>
      <c r="K30" s="148"/>
      <c r="L30" s="149"/>
      <c r="M30" s="20"/>
    </row>
    <row r="31" spans="2:13" ht="15.75" hidden="1">
      <c r="B31" s="129">
        <f t="shared" si="1"/>
        <v>19</v>
      </c>
      <c r="C31" s="150"/>
      <c r="D31" s="143"/>
      <c r="E31" s="144"/>
      <c r="F31" s="133">
        <f>E31*3.78922</f>
        <v>0</v>
      </c>
      <c r="G31" s="145"/>
      <c r="H31" s="146"/>
      <c r="I31" s="147"/>
      <c r="J31" s="137"/>
      <c r="K31" s="148"/>
      <c r="L31" s="149"/>
      <c r="M31" s="20"/>
    </row>
    <row r="32" spans="2:13" ht="16.5" hidden="1" thickBot="1">
      <c r="B32" s="129">
        <f t="shared" si="1"/>
        <v>20</v>
      </c>
      <c r="C32" s="150"/>
      <c r="D32" s="143"/>
      <c r="E32" s="144"/>
      <c r="F32" s="133">
        <f>E32*3.78922</f>
        <v>0</v>
      </c>
      <c r="G32" s="145"/>
      <c r="H32" s="146"/>
      <c r="I32" s="147"/>
      <c r="J32" s="137"/>
      <c r="K32" s="148"/>
      <c r="L32" s="149"/>
      <c r="M32" s="20"/>
    </row>
    <row r="33" spans="2:13" ht="26.25" customHeight="1" thickBot="1">
      <c r="B33" s="151"/>
      <c r="C33" s="152" t="s">
        <v>142</v>
      </c>
      <c r="D33" s="152">
        <f>SUM(D13:D32)</f>
        <v>32</v>
      </c>
      <c r="E33" s="152">
        <f>SUM(E13:E32)</f>
        <v>130</v>
      </c>
      <c r="F33" s="50">
        <f>SUM(F13:F32)</f>
        <v>622.5986</v>
      </c>
      <c r="G33" s="153"/>
      <c r="H33" s="154"/>
      <c r="I33" s="155"/>
      <c r="J33" s="156"/>
      <c r="K33" s="157"/>
      <c r="L33" s="158"/>
      <c r="M33" s="20"/>
    </row>
    <row r="34" spans="2:7" ht="15.75">
      <c r="B34" s="109"/>
      <c r="C34" s="29"/>
      <c r="D34" s="29"/>
      <c r="E34" s="29"/>
      <c r="F34" s="29"/>
      <c r="G34" s="29"/>
    </row>
    <row r="35" spans="2:7" ht="15.75">
      <c r="B35" s="109"/>
      <c r="C35" s="29"/>
      <c r="D35" s="29"/>
      <c r="E35" s="29"/>
      <c r="F35" s="29"/>
      <c r="G35" s="160"/>
    </row>
    <row r="36" spans="2:7" ht="15.75">
      <c r="B36" s="400"/>
      <c r="C36" s="525" t="s">
        <v>37</v>
      </c>
      <c r="D36" s="29"/>
      <c r="E36" s="29" t="s">
        <v>143</v>
      </c>
      <c r="F36" s="29"/>
      <c r="G36" s="29"/>
    </row>
    <row r="37" spans="2:7" ht="15.75">
      <c r="B37" s="955"/>
      <c r="C37" s="29"/>
      <c r="D37" s="29"/>
      <c r="E37" s="29"/>
      <c r="F37" s="29"/>
      <c r="G37" s="29"/>
    </row>
    <row r="38" spans="2:7" ht="15.75">
      <c r="B38" s="955"/>
      <c r="C38" s="29"/>
      <c r="D38" s="29"/>
      <c r="E38" s="29"/>
      <c r="F38" s="29"/>
      <c r="G38" s="29"/>
    </row>
    <row r="39" spans="2:7" ht="15.75">
      <c r="B39" s="955"/>
      <c r="C39" s="29"/>
      <c r="D39" s="29"/>
      <c r="E39" s="29"/>
      <c r="F39" s="29"/>
      <c r="G39" s="29"/>
    </row>
    <row r="40" spans="2:7" ht="15.75">
      <c r="B40" s="955"/>
      <c r="C40" s="29"/>
      <c r="D40" s="29"/>
      <c r="E40" s="29"/>
      <c r="F40" s="29"/>
      <c r="G40" s="29"/>
    </row>
    <row r="41" spans="2:7" ht="15.75">
      <c r="B41" s="955"/>
      <c r="C41" s="29"/>
      <c r="D41" s="29"/>
      <c r="E41" s="29"/>
      <c r="F41" s="29"/>
      <c r="G41" s="29"/>
    </row>
    <row r="42" spans="2:7" ht="15.75">
      <c r="B42" s="955"/>
      <c r="C42" s="29"/>
      <c r="D42" s="29"/>
      <c r="E42" s="29"/>
      <c r="F42" s="29"/>
      <c r="G42" s="29"/>
    </row>
    <row r="43" spans="2:7" ht="15.75">
      <c r="B43" s="955"/>
      <c r="C43" s="29"/>
      <c r="D43" s="29"/>
      <c r="E43" s="29"/>
      <c r="F43" s="29"/>
      <c r="G43" s="29"/>
    </row>
    <row r="44" spans="2:7" ht="15.75">
      <c r="B44" s="955"/>
      <c r="C44" s="29"/>
      <c r="D44" s="29"/>
      <c r="E44" s="29"/>
      <c r="F44" s="29"/>
      <c r="G44" s="29"/>
    </row>
    <row r="45" spans="2:7" ht="15.75">
      <c r="B45" s="955"/>
      <c r="C45" s="29"/>
      <c r="D45" s="29"/>
      <c r="E45" s="29"/>
      <c r="F45" s="29"/>
      <c r="G45" s="29"/>
    </row>
    <row r="46" spans="2:7" ht="15.75">
      <c r="B46" s="955"/>
      <c r="C46" s="29"/>
      <c r="D46" s="29"/>
      <c r="E46" s="29"/>
      <c r="F46" s="29"/>
      <c r="G46" s="29"/>
    </row>
    <row r="47" spans="2:7" ht="15.75">
      <c r="B47" s="955"/>
      <c r="C47" s="29"/>
      <c r="D47" s="29"/>
      <c r="E47" s="29"/>
      <c r="F47" s="29"/>
      <c r="G47" s="29"/>
    </row>
    <row r="48" spans="2:7" ht="15.75">
      <c r="B48" s="955"/>
      <c r="C48" s="29"/>
      <c r="D48" s="29"/>
      <c r="E48" s="29"/>
      <c r="F48" s="29"/>
      <c r="G48" s="29"/>
    </row>
    <row r="49" spans="2:7" ht="15.75">
      <c r="B49" s="955"/>
      <c r="C49" s="29"/>
      <c r="D49" s="29"/>
      <c r="E49" s="29"/>
      <c r="F49" s="29"/>
      <c r="G49" s="29"/>
    </row>
    <row r="50" spans="2:7" ht="15.75">
      <c r="B50" s="955"/>
      <c r="C50" s="29"/>
      <c r="D50" s="29"/>
      <c r="E50" s="29"/>
      <c r="F50" s="29"/>
      <c r="G50" s="29"/>
    </row>
    <row r="51" spans="2:7" ht="15.75">
      <c r="B51" s="955"/>
      <c r="C51" s="29"/>
      <c r="D51" s="29"/>
      <c r="E51" s="29"/>
      <c r="F51" s="29"/>
      <c r="G51" s="29"/>
    </row>
    <row r="52" spans="2:7" ht="15.75">
      <c r="B52" s="955"/>
      <c r="C52" s="29"/>
      <c r="D52" s="29"/>
      <c r="E52" s="29"/>
      <c r="F52" s="29"/>
      <c r="G52" s="29"/>
    </row>
    <row r="53" spans="2:7" ht="15.75">
      <c r="B53" s="955"/>
      <c r="C53" s="29"/>
      <c r="D53" s="29"/>
      <c r="E53" s="29"/>
      <c r="F53" s="29"/>
      <c r="G53" s="29"/>
    </row>
    <row r="54" spans="2:7" ht="15.75">
      <c r="B54" s="955"/>
      <c r="C54" s="29"/>
      <c r="D54" s="29"/>
      <c r="E54" s="29"/>
      <c r="F54" s="29"/>
      <c r="G54" s="29"/>
    </row>
    <row r="55" ht="12.75">
      <c r="B55" s="107"/>
    </row>
    <row r="56" ht="12.75">
      <c r="B56" s="107"/>
    </row>
    <row r="57" ht="12.75">
      <c r="B57" s="107"/>
    </row>
    <row r="59" spans="3:6" ht="12.75">
      <c r="C59" t="s">
        <v>17</v>
      </c>
      <c r="F59">
        <v>3.772211838006231</v>
      </c>
    </row>
  </sheetData>
  <mergeCells count="15">
    <mergeCell ref="C11:C12"/>
    <mergeCell ref="D11:D12"/>
    <mergeCell ref="E11:E12"/>
    <mergeCell ref="F11:F12"/>
    <mergeCell ref="G11:G12"/>
    <mergeCell ref="D2:G5"/>
    <mergeCell ref="J2:L5"/>
    <mergeCell ref="B7:G7"/>
    <mergeCell ref="B8:G8"/>
    <mergeCell ref="C9:G9"/>
    <mergeCell ref="H11:H12"/>
    <mergeCell ref="I11:I12"/>
    <mergeCell ref="J11:J12"/>
    <mergeCell ref="K11:K12"/>
    <mergeCell ref="L11:L1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699890613556"/>
    <pageSetUpPr fitToPage="1"/>
  </sheetPr>
  <dimension ref="A1:G164"/>
  <sheetViews>
    <sheetView zoomScale="110" zoomScaleNormal="110" workbookViewId="0" topLeftCell="A1">
      <selection activeCell="B163" sqref="B163"/>
    </sheetView>
  </sheetViews>
  <sheetFormatPr defaultColWidth="9.00390625" defaultRowHeight="12.75"/>
  <cols>
    <col min="1" max="1" width="6.375" style="0" customWidth="1"/>
    <col min="2" max="2" width="45.75390625" style="0" customWidth="1"/>
    <col min="4" max="4" width="14.875" style="0" customWidth="1"/>
    <col min="5" max="5" width="13.375" style="0" customWidth="1"/>
    <col min="6" max="6" width="13.00390625" style="0" customWidth="1"/>
    <col min="7" max="7" width="13.375" style="0" customWidth="1"/>
  </cols>
  <sheetData>
    <row r="1" ht="16.5" customHeight="1">
      <c r="B1" s="1701"/>
    </row>
    <row r="2" spans="1:7" ht="15.75">
      <c r="A2" s="1045"/>
      <c r="B2" s="1045"/>
      <c r="C2" s="1046"/>
      <c r="D2" s="1047"/>
      <c r="E2" s="1046"/>
      <c r="F2" s="1046"/>
      <c r="G2" s="1050" t="s">
        <v>919</v>
      </c>
    </row>
    <row r="3" spans="1:7" ht="15.75">
      <c r="A3" s="333"/>
      <c r="B3" s="1049" t="s">
        <v>918</v>
      </c>
      <c r="C3" s="1046"/>
      <c r="D3" s="1047"/>
      <c r="E3" s="1046"/>
      <c r="F3" s="1046"/>
      <c r="G3" s="1050" t="s">
        <v>726</v>
      </c>
    </row>
    <row r="4" spans="1:7" ht="15.75">
      <c r="A4" s="333"/>
      <c r="B4" s="1049" t="s">
        <v>916</v>
      </c>
      <c r="C4" s="1046"/>
      <c r="D4" s="1047"/>
      <c r="E4" s="1046"/>
      <c r="F4" s="1046"/>
      <c r="G4" s="1050" t="s">
        <v>728</v>
      </c>
    </row>
    <row r="5" spans="1:7" ht="15.75">
      <c r="A5" s="333"/>
      <c r="B5" s="1049" t="s">
        <v>917</v>
      </c>
      <c r="C5" s="1046"/>
      <c r="D5" s="1047"/>
      <c r="E5" s="1046"/>
      <c r="F5" s="1046"/>
      <c r="G5" s="1050" t="s">
        <v>730</v>
      </c>
    </row>
    <row r="6" spans="1:7" ht="15.75">
      <c r="A6" s="333"/>
      <c r="B6" s="1045" t="s">
        <v>913</v>
      </c>
      <c r="C6" s="1046"/>
      <c r="D6" s="1047"/>
      <c r="E6" s="1046"/>
      <c r="F6" s="1046"/>
      <c r="G6" s="1050" t="s">
        <v>732</v>
      </c>
    </row>
    <row r="7" spans="1:7" ht="17.25" customHeight="1">
      <c r="A7" s="333"/>
      <c r="B7" s="1700" t="s">
        <v>914</v>
      </c>
      <c r="C7" s="1046"/>
      <c r="D7" s="1047"/>
      <c r="E7" s="1047"/>
      <c r="F7" s="1047"/>
      <c r="G7" s="1050" t="s">
        <v>915</v>
      </c>
    </row>
    <row r="8" spans="1:7" ht="17.25" customHeight="1">
      <c r="A8" s="333"/>
      <c r="B8" s="1046"/>
      <c r="C8" s="1046"/>
      <c r="D8" s="1047"/>
      <c r="E8" s="1047"/>
      <c r="F8" s="1047"/>
      <c r="G8" s="1050"/>
    </row>
    <row r="9" spans="1:7" ht="31.5" customHeight="1">
      <c r="A9" s="1873" t="s">
        <v>938</v>
      </c>
      <c r="B9" s="1873"/>
      <c r="C9" s="1873"/>
      <c r="D9" s="1873"/>
      <c r="E9" s="1873"/>
      <c r="F9" s="1873"/>
      <c r="G9" s="1873"/>
    </row>
    <row r="10" spans="1:7" ht="16.5" customHeight="1" thickBot="1">
      <c r="A10" s="1059"/>
      <c r="B10" s="1060"/>
      <c r="C10" s="1060"/>
      <c r="D10" s="1060"/>
      <c r="E10" s="1046"/>
      <c r="F10" s="1046"/>
      <c r="G10" s="1699" t="s">
        <v>911</v>
      </c>
    </row>
    <row r="11" spans="1:7" ht="45" customHeight="1" thickBot="1">
      <c r="A11" s="1874" t="s">
        <v>735</v>
      </c>
      <c r="B11" s="1863" t="s">
        <v>736</v>
      </c>
      <c r="C11" s="1863" t="s">
        <v>737</v>
      </c>
      <c r="D11" s="1865" t="s">
        <v>738</v>
      </c>
      <c r="E11" s="1870" t="s">
        <v>912</v>
      </c>
      <c r="F11" s="1871"/>
      <c r="G11" s="1872"/>
    </row>
    <row r="12" spans="1:7" ht="15.75" customHeight="1" thickBot="1">
      <c r="A12" s="1875"/>
      <c r="B12" s="1864"/>
      <c r="C12" s="1864"/>
      <c r="D12" s="1866"/>
      <c r="E12" s="1720" t="s">
        <v>748</v>
      </c>
      <c r="F12" s="1721" t="s">
        <v>749</v>
      </c>
      <c r="G12" s="1722" t="s">
        <v>750</v>
      </c>
    </row>
    <row r="13" spans="1:7" ht="15.75" customHeight="1" thickBot="1">
      <c r="A13" s="1068" t="s">
        <v>752</v>
      </c>
      <c r="B13" s="1069" t="s">
        <v>753</v>
      </c>
      <c r="C13" s="1070" t="s">
        <v>24</v>
      </c>
      <c r="D13" s="1071">
        <f>E13</f>
        <v>28504.541416666667</v>
      </c>
      <c r="E13" s="1075">
        <f>F13+G13</f>
        <v>28504.541416666667</v>
      </c>
      <c r="F13" s="1076">
        <f>F16+F23+F34+F36+F39+F41+F43+F45+F47+F49+F51+F53+F55+F57+F59+F61+F63+F65+F67+F69+F71</f>
        <v>0</v>
      </c>
      <c r="G13" s="1077">
        <f>G16+G23+G34+G36+G39+G41+G43+G45+G47+G49+G51+G53+G55+G57+G59+G61+G63+G65+G67+G69+G71</f>
        <v>28504.541416666667</v>
      </c>
    </row>
    <row r="14" spans="1:7" ht="12.75">
      <c r="A14" s="1828">
        <v>1</v>
      </c>
      <c r="B14" s="1690" t="s">
        <v>754</v>
      </c>
      <c r="C14" s="1086" t="s">
        <v>755</v>
      </c>
      <c r="D14" s="1087">
        <f>E14</f>
        <v>41</v>
      </c>
      <c r="E14" s="1091">
        <f aca="true" t="shared" si="0" ref="E14:E20">F14+G14</f>
        <v>41</v>
      </c>
      <c r="F14" s="1092">
        <v>0</v>
      </c>
      <c r="G14" s="1093">
        <v>41</v>
      </c>
    </row>
    <row r="15" spans="1:7" ht="12.75">
      <c r="A15" s="1828"/>
      <c r="B15" s="1689"/>
      <c r="C15" s="1102" t="s">
        <v>756</v>
      </c>
      <c r="D15" s="1103">
        <f>E15</f>
        <v>0.663</v>
      </c>
      <c r="E15" s="1107">
        <f t="shared" si="0"/>
        <v>0.663</v>
      </c>
      <c r="F15" s="1108">
        <f>F17+F19</f>
        <v>0</v>
      </c>
      <c r="G15" s="1109">
        <f>G17+G19</f>
        <v>0.663</v>
      </c>
    </row>
    <row r="16" spans="1:7" ht="12.75">
      <c r="A16" s="1829"/>
      <c r="B16" s="1117" t="s">
        <v>757</v>
      </c>
      <c r="C16" s="1102" t="s">
        <v>24</v>
      </c>
      <c r="D16" s="1103">
        <f>E16</f>
        <v>639.543</v>
      </c>
      <c r="E16" s="1107">
        <f>F16+G16</f>
        <v>639.543</v>
      </c>
      <c r="F16" s="1108">
        <f>F18+F20+F21</f>
        <v>0</v>
      </c>
      <c r="G16" s="1109">
        <f>G18+G20+G21</f>
        <v>639.543</v>
      </c>
    </row>
    <row r="17" spans="1:7" ht="12.75">
      <c r="A17" s="1798" t="s">
        <v>758</v>
      </c>
      <c r="B17" s="1800" t="s">
        <v>759</v>
      </c>
      <c r="C17" s="1118" t="s">
        <v>756</v>
      </c>
      <c r="D17" s="1119">
        <f aca="true" t="shared" si="1" ref="D17:D80">E17</f>
        <v>0.323</v>
      </c>
      <c r="E17" s="1123">
        <f t="shared" si="0"/>
        <v>0.323</v>
      </c>
      <c r="F17" s="1124">
        <v>0</v>
      </c>
      <c r="G17" s="1125">
        <v>0.323</v>
      </c>
    </row>
    <row r="18" spans="1:7" ht="12.75">
      <c r="A18" s="1798"/>
      <c r="B18" s="1800"/>
      <c r="C18" s="1118" t="s">
        <v>24</v>
      </c>
      <c r="D18" s="1119">
        <f t="shared" si="1"/>
        <v>238.829</v>
      </c>
      <c r="E18" s="1123">
        <f t="shared" si="0"/>
        <v>238.829</v>
      </c>
      <c r="F18" s="1124">
        <v>0</v>
      </c>
      <c r="G18" s="1125">
        <v>238.829</v>
      </c>
    </row>
    <row r="19" spans="1:7" ht="12.75">
      <c r="A19" s="1798" t="s">
        <v>760</v>
      </c>
      <c r="B19" s="1800" t="s">
        <v>761</v>
      </c>
      <c r="C19" s="1118" t="s">
        <v>756</v>
      </c>
      <c r="D19" s="1119">
        <f t="shared" si="1"/>
        <v>0.34</v>
      </c>
      <c r="E19" s="1123">
        <f t="shared" si="0"/>
        <v>0.34</v>
      </c>
      <c r="F19" s="1124">
        <v>0</v>
      </c>
      <c r="G19" s="1125">
        <v>0.34</v>
      </c>
    </row>
    <row r="20" spans="1:7" ht="12.75">
      <c r="A20" s="1798"/>
      <c r="B20" s="1800"/>
      <c r="C20" s="1118" t="s">
        <v>24</v>
      </c>
      <c r="D20" s="1119">
        <f t="shared" si="1"/>
        <v>400.714</v>
      </c>
      <c r="E20" s="1123">
        <f t="shared" si="0"/>
        <v>400.714</v>
      </c>
      <c r="F20" s="1124">
        <v>0</v>
      </c>
      <c r="G20" s="1125">
        <v>400.714</v>
      </c>
    </row>
    <row r="21" spans="1:7" ht="16.5" customHeight="1" thickBot="1">
      <c r="A21" s="1133" t="s">
        <v>762</v>
      </c>
      <c r="B21" s="1134" t="s">
        <v>763</v>
      </c>
      <c r="C21" s="1135" t="s">
        <v>24</v>
      </c>
      <c r="D21" s="1136">
        <f t="shared" si="1"/>
        <v>0</v>
      </c>
      <c r="E21" s="1140">
        <f>F21+G21</f>
        <v>0</v>
      </c>
      <c r="F21" s="1092">
        <v>0</v>
      </c>
      <c r="G21" s="1141"/>
    </row>
    <row r="22" spans="1:7" ht="15.75" customHeight="1">
      <c r="A22" s="1830" t="s">
        <v>764</v>
      </c>
      <c r="B22" s="1831" t="s">
        <v>765</v>
      </c>
      <c r="C22" s="1149" t="s">
        <v>755</v>
      </c>
      <c r="D22" s="1150">
        <f t="shared" si="1"/>
        <v>38</v>
      </c>
      <c r="E22" s="1154">
        <f aca="true" t="shared" si="2" ref="E22:E85">F22+G22</f>
        <v>38</v>
      </c>
      <c r="F22" s="1155">
        <v>0</v>
      </c>
      <c r="G22" s="1156">
        <v>38</v>
      </c>
    </row>
    <row r="23" spans="1:7" ht="15" customHeight="1">
      <c r="A23" s="1826"/>
      <c r="B23" s="1832"/>
      <c r="C23" s="1162" t="s">
        <v>24</v>
      </c>
      <c r="D23" s="1103">
        <f t="shared" si="1"/>
        <v>2983.8630000000003</v>
      </c>
      <c r="E23" s="1163">
        <f t="shared" si="2"/>
        <v>2983.8630000000003</v>
      </c>
      <c r="F23" s="1164">
        <f>F25+F27+F29+F31+F32</f>
        <v>0</v>
      </c>
      <c r="G23" s="1165">
        <f>G25+G27+G29+G31+G32</f>
        <v>2983.8630000000003</v>
      </c>
    </row>
    <row r="24" spans="1:7" ht="15" customHeight="1">
      <c r="A24" s="1826" t="s">
        <v>766</v>
      </c>
      <c r="B24" s="1827" t="s">
        <v>767</v>
      </c>
      <c r="C24" s="1118" t="s">
        <v>768</v>
      </c>
      <c r="D24" s="1119">
        <f t="shared" si="1"/>
        <v>181.86</v>
      </c>
      <c r="E24" s="1166">
        <f t="shared" si="2"/>
        <v>181.86</v>
      </c>
      <c r="F24" s="1167">
        <v>0</v>
      </c>
      <c r="G24" s="1168">
        <v>181.86</v>
      </c>
    </row>
    <row r="25" spans="1:7" ht="15" customHeight="1">
      <c r="A25" s="1826"/>
      <c r="B25" s="1827"/>
      <c r="C25" s="1118" t="s">
        <v>24</v>
      </c>
      <c r="D25" s="1119">
        <f t="shared" si="1"/>
        <v>1948.5</v>
      </c>
      <c r="E25" s="1170">
        <f t="shared" si="2"/>
        <v>1948.5</v>
      </c>
      <c r="F25" s="1124">
        <v>0</v>
      </c>
      <c r="G25" s="1168">
        <v>1948.5</v>
      </c>
    </row>
    <row r="26" spans="1:7" ht="18.75" customHeight="1">
      <c r="A26" s="1826" t="s">
        <v>769</v>
      </c>
      <c r="B26" s="1827" t="s">
        <v>770</v>
      </c>
      <c r="C26" s="1118" t="s">
        <v>771</v>
      </c>
      <c r="D26" s="1119">
        <f t="shared" si="1"/>
        <v>1252</v>
      </c>
      <c r="E26" s="1170">
        <f t="shared" si="2"/>
        <v>1252</v>
      </c>
      <c r="F26" s="1124">
        <v>0</v>
      </c>
      <c r="G26" s="1168">
        <v>1252</v>
      </c>
    </row>
    <row r="27" spans="1:7" ht="18" customHeight="1">
      <c r="A27" s="1826"/>
      <c r="B27" s="1827"/>
      <c r="C27" s="1118" t="s">
        <v>24</v>
      </c>
      <c r="D27" s="1119">
        <f t="shared" si="1"/>
        <v>688.6</v>
      </c>
      <c r="E27" s="1170">
        <f t="shared" si="2"/>
        <v>688.6</v>
      </c>
      <c r="F27" s="1124">
        <v>0</v>
      </c>
      <c r="G27" s="1168">
        <f>G26*0.55</f>
        <v>688.6</v>
      </c>
    </row>
    <row r="28" spans="1:7" ht="15.75" customHeight="1">
      <c r="A28" s="1826" t="s">
        <v>772</v>
      </c>
      <c r="B28" s="1827" t="s">
        <v>195</v>
      </c>
      <c r="C28" s="1118" t="s">
        <v>771</v>
      </c>
      <c r="D28" s="1119">
        <f t="shared" si="1"/>
        <v>0</v>
      </c>
      <c r="E28" s="1170">
        <f t="shared" si="2"/>
        <v>0</v>
      </c>
      <c r="F28" s="1124">
        <v>0</v>
      </c>
      <c r="G28" s="1168">
        <v>0</v>
      </c>
    </row>
    <row r="29" spans="1:7" ht="16.5" customHeight="1">
      <c r="A29" s="1826"/>
      <c r="B29" s="1827"/>
      <c r="C29" s="1118" t="s">
        <v>24</v>
      </c>
      <c r="D29" s="1119">
        <f t="shared" si="1"/>
        <v>0</v>
      </c>
      <c r="E29" s="1170">
        <f t="shared" si="2"/>
        <v>0</v>
      </c>
      <c r="F29" s="1124">
        <v>0</v>
      </c>
      <c r="G29" s="1168">
        <v>0</v>
      </c>
    </row>
    <row r="30" spans="1:7" ht="13.5" customHeight="1">
      <c r="A30" s="1826" t="s">
        <v>773</v>
      </c>
      <c r="B30" s="1827" t="s">
        <v>774</v>
      </c>
      <c r="C30" s="1118" t="s">
        <v>145</v>
      </c>
      <c r="D30" s="1119">
        <f t="shared" si="1"/>
        <v>22</v>
      </c>
      <c r="E30" s="1170">
        <f t="shared" si="2"/>
        <v>22</v>
      </c>
      <c r="F30" s="1124">
        <v>0</v>
      </c>
      <c r="G30" s="1168">
        <v>22</v>
      </c>
    </row>
    <row r="31" spans="1:7" ht="12.75">
      <c r="A31" s="1826"/>
      <c r="B31" s="1827"/>
      <c r="C31" s="1118" t="s">
        <v>24</v>
      </c>
      <c r="D31" s="1119">
        <f t="shared" si="1"/>
        <v>6.82</v>
      </c>
      <c r="E31" s="1170">
        <f t="shared" si="2"/>
        <v>6.82</v>
      </c>
      <c r="F31" s="1124">
        <v>0</v>
      </c>
      <c r="G31" s="1168">
        <v>6.82</v>
      </c>
    </row>
    <row r="32" spans="1:7" ht="26.25" thickBot="1">
      <c r="A32" s="1171" t="s">
        <v>775</v>
      </c>
      <c r="B32" s="1172" t="s">
        <v>776</v>
      </c>
      <c r="C32" s="1173" t="s">
        <v>24</v>
      </c>
      <c r="D32" s="1174">
        <f t="shared" si="1"/>
        <v>339.943</v>
      </c>
      <c r="E32" s="1178">
        <f t="shared" si="2"/>
        <v>339.943</v>
      </c>
      <c r="F32" s="1179">
        <v>0</v>
      </c>
      <c r="G32" s="1180">
        <v>339.943</v>
      </c>
    </row>
    <row r="33" spans="1:7" ht="12.75">
      <c r="A33" s="1806" t="s">
        <v>777</v>
      </c>
      <c r="B33" s="1823" t="s">
        <v>778</v>
      </c>
      <c r="C33" s="1241" t="s">
        <v>779</v>
      </c>
      <c r="D33" s="1245">
        <f t="shared" si="1"/>
        <v>4.105</v>
      </c>
      <c r="E33" s="1191">
        <f t="shared" si="2"/>
        <v>4.105</v>
      </c>
      <c r="F33" s="1192">
        <v>0</v>
      </c>
      <c r="G33" s="1093">
        <v>4.105</v>
      </c>
    </row>
    <row r="34" spans="1:7" ht="13.5" thickBot="1">
      <c r="A34" s="1803"/>
      <c r="B34" s="1821"/>
      <c r="C34" s="1135" t="s">
        <v>24</v>
      </c>
      <c r="D34" s="1201">
        <f t="shared" si="1"/>
        <v>2200.28</v>
      </c>
      <c r="E34" s="1205">
        <f t="shared" si="2"/>
        <v>2200.28</v>
      </c>
      <c r="F34" s="1206">
        <v>0</v>
      </c>
      <c r="G34" s="1141">
        <f>G33*536</f>
        <v>2200.28</v>
      </c>
    </row>
    <row r="35" spans="1:7" ht="12.75">
      <c r="A35" s="1806" t="s">
        <v>780</v>
      </c>
      <c r="B35" s="1823" t="s">
        <v>781</v>
      </c>
      <c r="C35" s="1186" t="s">
        <v>756</v>
      </c>
      <c r="D35" s="1187">
        <f t="shared" si="1"/>
        <v>4.956</v>
      </c>
      <c r="E35" s="1217">
        <f t="shared" si="2"/>
        <v>4.956</v>
      </c>
      <c r="F35" s="1167">
        <v>0</v>
      </c>
      <c r="G35" s="1706">
        <v>4.956</v>
      </c>
    </row>
    <row r="36" spans="1:7" ht="13.5" thickBot="1">
      <c r="A36" s="1799"/>
      <c r="B36" s="1824"/>
      <c r="C36" s="1135" t="s">
        <v>24</v>
      </c>
      <c r="D36" s="1136">
        <f t="shared" si="1"/>
        <v>1646.545</v>
      </c>
      <c r="E36" s="1228">
        <f t="shared" si="2"/>
        <v>1646.545</v>
      </c>
      <c r="F36" s="1229">
        <v>0</v>
      </c>
      <c r="G36" s="1707">
        <v>1646.545</v>
      </c>
    </row>
    <row r="37" spans="1:7" ht="12.75">
      <c r="A37" s="1802" t="s">
        <v>782</v>
      </c>
      <c r="B37" s="1820" t="s">
        <v>783</v>
      </c>
      <c r="C37" s="1186" t="s">
        <v>756</v>
      </c>
      <c r="D37" s="1187">
        <f t="shared" si="1"/>
        <v>8.98</v>
      </c>
      <c r="E37" s="1234">
        <f>F37+G37</f>
        <v>8.98</v>
      </c>
      <c r="F37" s="1235">
        <v>0</v>
      </c>
      <c r="G37" s="1708">
        <v>8.98</v>
      </c>
    </row>
    <row r="38" spans="1:7" ht="12.75">
      <c r="A38" s="1798"/>
      <c r="B38" s="1822"/>
      <c r="C38" s="1118" t="s">
        <v>784</v>
      </c>
      <c r="D38" s="1119">
        <f t="shared" si="1"/>
        <v>111</v>
      </c>
      <c r="E38" s="1123">
        <f t="shared" si="2"/>
        <v>111</v>
      </c>
      <c r="F38" s="1124">
        <v>0</v>
      </c>
      <c r="G38" s="1125">
        <v>111</v>
      </c>
    </row>
    <row r="39" spans="1:7" ht="13.5" thickBot="1">
      <c r="A39" s="1803"/>
      <c r="B39" s="1821"/>
      <c r="C39" s="1135" t="s">
        <v>24</v>
      </c>
      <c r="D39" s="1201">
        <f t="shared" si="1"/>
        <v>14256.202</v>
      </c>
      <c r="E39" s="1238">
        <f t="shared" si="2"/>
        <v>14256.202</v>
      </c>
      <c r="F39" s="1239">
        <v>0</v>
      </c>
      <c r="G39" s="1709">
        <v>14256.202</v>
      </c>
    </row>
    <row r="40" spans="1:7" ht="12.75">
      <c r="A40" s="1806" t="s">
        <v>785</v>
      </c>
      <c r="B40" s="1823" t="s">
        <v>786</v>
      </c>
      <c r="C40" s="1186" t="s">
        <v>756</v>
      </c>
      <c r="D40" s="1187">
        <f t="shared" si="1"/>
        <v>0.0194</v>
      </c>
      <c r="E40" s="1191">
        <f t="shared" si="2"/>
        <v>0.0194</v>
      </c>
      <c r="F40" s="1192">
        <v>0</v>
      </c>
      <c r="G40" s="1093">
        <v>0.0194</v>
      </c>
    </row>
    <row r="41" spans="1:7" ht="13.5" thickBot="1">
      <c r="A41" s="1799"/>
      <c r="B41" s="1824"/>
      <c r="C41" s="1135" t="s">
        <v>24</v>
      </c>
      <c r="D41" s="1201">
        <f t="shared" si="1"/>
        <v>18.973</v>
      </c>
      <c r="E41" s="1205">
        <f t="shared" si="2"/>
        <v>18.973</v>
      </c>
      <c r="F41" s="1206">
        <v>0</v>
      </c>
      <c r="G41" s="1141">
        <v>18.973</v>
      </c>
    </row>
    <row r="42" spans="1:7" ht="12.75">
      <c r="A42" s="1802" t="s">
        <v>787</v>
      </c>
      <c r="B42" s="1816" t="s">
        <v>788</v>
      </c>
      <c r="C42" s="1186" t="s">
        <v>756</v>
      </c>
      <c r="D42" s="1187">
        <f t="shared" si="1"/>
        <v>0.095</v>
      </c>
      <c r="E42" s="1191">
        <f t="shared" si="2"/>
        <v>0.095</v>
      </c>
      <c r="F42" s="1192">
        <v>0</v>
      </c>
      <c r="G42" s="1093">
        <v>0.095</v>
      </c>
    </row>
    <row r="43" spans="1:7" ht="13.5" thickBot="1">
      <c r="A43" s="1799"/>
      <c r="B43" s="1825"/>
      <c r="C43" s="1135" t="s">
        <v>24</v>
      </c>
      <c r="D43" s="1136">
        <f t="shared" si="1"/>
        <v>256.209</v>
      </c>
      <c r="E43" s="1205">
        <f t="shared" si="2"/>
        <v>256.209</v>
      </c>
      <c r="F43" s="1206">
        <v>0</v>
      </c>
      <c r="G43" s="1141">
        <v>256.209</v>
      </c>
    </row>
    <row r="44" spans="1:7" ht="12.75">
      <c r="A44" s="1802" t="s">
        <v>789</v>
      </c>
      <c r="B44" s="1820" t="s">
        <v>790</v>
      </c>
      <c r="C44" s="1186" t="s">
        <v>145</v>
      </c>
      <c r="D44" s="1187">
        <f t="shared" si="1"/>
        <v>215</v>
      </c>
      <c r="E44" s="1191">
        <f t="shared" si="2"/>
        <v>215</v>
      </c>
      <c r="F44" s="1192">
        <v>0</v>
      </c>
      <c r="G44" s="1093">
        <v>215</v>
      </c>
    </row>
    <row r="45" spans="1:7" ht="13.5" thickBot="1">
      <c r="A45" s="1803"/>
      <c r="B45" s="1821"/>
      <c r="C45" s="1135" t="s">
        <v>24</v>
      </c>
      <c r="D45" s="1201">
        <f t="shared" si="1"/>
        <v>226.311</v>
      </c>
      <c r="E45" s="1205">
        <f t="shared" si="2"/>
        <v>226.311</v>
      </c>
      <c r="F45" s="1206">
        <v>0</v>
      </c>
      <c r="G45" s="1141">
        <v>226.311</v>
      </c>
    </row>
    <row r="46" spans="1:7" ht="12" customHeight="1">
      <c r="A46" s="1806" t="s">
        <v>791</v>
      </c>
      <c r="B46" s="1807" t="s">
        <v>792</v>
      </c>
      <c r="C46" s="1186" t="s">
        <v>145</v>
      </c>
      <c r="D46" s="1187">
        <f t="shared" si="1"/>
        <v>0</v>
      </c>
      <c r="E46" s="1191">
        <f t="shared" si="2"/>
        <v>0</v>
      </c>
      <c r="F46" s="1192">
        <v>0</v>
      </c>
      <c r="G46" s="1093">
        <v>0</v>
      </c>
    </row>
    <row r="47" spans="1:7" ht="12" customHeight="1" thickBot="1">
      <c r="A47" s="1799"/>
      <c r="B47" s="1808"/>
      <c r="C47" s="1135" t="s">
        <v>24</v>
      </c>
      <c r="D47" s="1136">
        <f t="shared" si="1"/>
        <v>0</v>
      </c>
      <c r="E47" s="1205">
        <f t="shared" si="2"/>
        <v>0</v>
      </c>
      <c r="F47" s="1206">
        <v>0</v>
      </c>
      <c r="G47" s="1141">
        <v>0</v>
      </c>
    </row>
    <row r="48" spans="1:7" ht="12.75">
      <c r="A48" s="1802" t="s">
        <v>793</v>
      </c>
      <c r="B48" s="1804" t="s">
        <v>794</v>
      </c>
      <c r="C48" s="1241" t="s">
        <v>779</v>
      </c>
      <c r="D48" s="1242">
        <f t="shared" si="1"/>
        <v>2.745</v>
      </c>
      <c r="E48" s="1217">
        <f t="shared" si="2"/>
        <v>2.745</v>
      </c>
      <c r="F48" s="1167">
        <v>0</v>
      </c>
      <c r="G48" s="1706">
        <v>2.745</v>
      </c>
    </row>
    <row r="49" spans="1:7" ht="13.5" thickBot="1">
      <c r="A49" s="1803"/>
      <c r="B49" s="1805"/>
      <c r="C49" s="1135" t="s">
        <v>24</v>
      </c>
      <c r="D49" s="1136">
        <f t="shared" si="1"/>
        <v>1247.045</v>
      </c>
      <c r="E49" s="1228">
        <f t="shared" si="2"/>
        <v>1247.045</v>
      </c>
      <c r="F49" s="1229">
        <v>0</v>
      </c>
      <c r="G49" s="1707">
        <v>1247.045</v>
      </c>
    </row>
    <row r="50" spans="1:7" ht="12.75">
      <c r="A50" s="1806" t="s">
        <v>795</v>
      </c>
      <c r="B50" s="1807" t="s">
        <v>796</v>
      </c>
      <c r="C50" s="1241" t="s">
        <v>145</v>
      </c>
      <c r="D50" s="1242">
        <f t="shared" si="1"/>
        <v>49</v>
      </c>
      <c r="E50" s="1191">
        <f t="shared" si="2"/>
        <v>49</v>
      </c>
      <c r="F50" s="1192">
        <v>0</v>
      </c>
      <c r="G50" s="1093">
        <v>49</v>
      </c>
    </row>
    <row r="51" spans="1:7" ht="13.5" thickBot="1">
      <c r="A51" s="1799"/>
      <c r="B51" s="1808"/>
      <c r="C51" s="1135" t="s">
        <v>24</v>
      </c>
      <c r="D51" s="1136">
        <f t="shared" si="1"/>
        <v>173.656</v>
      </c>
      <c r="E51" s="1205">
        <f t="shared" si="2"/>
        <v>173.656</v>
      </c>
      <c r="F51" s="1206">
        <v>0</v>
      </c>
      <c r="G51" s="1141">
        <v>173.656</v>
      </c>
    </row>
    <row r="52" spans="1:7" ht="12.75">
      <c r="A52" s="1806" t="s">
        <v>797</v>
      </c>
      <c r="B52" s="1807" t="s">
        <v>798</v>
      </c>
      <c r="C52" s="1241" t="s">
        <v>145</v>
      </c>
      <c r="D52" s="1245">
        <f t="shared" si="1"/>
        <v>45</v>
      </c>
      <c r="E52" s="1191">
        <f t="shared" si="2"/>
        <v>45</v>
      </c>
      <c r="F52" s="1192">
        <v>0</v>
      </c>
      <c r="G52" s="1093">
        <v>45</v>
      </c>
    </row>
    <row r="53" spans="1:7" ht="13.5" thickBot="1">
      <c r="A53" s="1799"/>
      <c r="B53" s="1808"/>
      <c r="C53" s="1135" t="s">
        <v>24</v>
      </c>
      <c r="D53" s="1136">
        <f t="shared" si="1"/>
        <v>733.499</v>
      </c>
      <c r="E53" s="1205">
        <f t="shared" si="2"/>
        <v>733.499</v>
      </c>
      <c r="F53" s="1206">
        <v>0</v>
      </c>
      <c r="G53" s="1141">
        <v>733.499</v>
      </c>
    </row>
    <row r="54" spans="1:7" ht="12.75">
      <c r="A54" s="1806" t="s">
        <v>799</v>
      </c>
      <c r="B54" s="1814" t="s">
        <v>800</v>
      </c>
      <c r="C54" s="1186" t="s">
        <v>145</v>
      </c>
      <c r="D54" s="1187">
        <f t="shared" si="1"/>
        <v>679</v>
      </c>
      <c r="E54" s="1249">
        <f t="shared" si="2"/>
        <v>679</v>
      </c>
      <c r="F54" s="1192">
        <v>0</v>
      </c>
      <c r="G54" s="1093">
        <v>679</v>
      </c>
    </row>
    <row r="55" spans="1:7" ht="13.5" thickBot="1">
      <c r="A55" s="1799"/>
      <c r="B55" s="1815"/>
      <c r="C55" s="1135" t="s">
        <v>24</v>
      </c>
      <c r="D55" s="1136">
        <f t="shared" si="1"/>
        <v>1417.071</v>
      </c>
      <c r="E55" s="1256">
        <f t="shared" si="2"/>
        <v>1417.071</v>
      </c>
      <c r="F55" s="1206">
        <v>0</v>
      </c>
      <c r="G55" s="1141">
        <v>1417.071</v>
      </c>
    </row>
    <row r="56" spans="1:7" ht="12.75">
      <c r="A56" s="1806" t="s">
        <v>801</v>
      </c>
      <c r="B56" s="1869" t="s">
        <v>802</v>
      </c>
      <c r="C56" s="1241" t="s">
        <v>756</v>
      </c>
      <c r="D56" s="1242">
        <f t="shared" si="1"/>
        <v>0.843</v>
      </c>
      <c r="E56" s="1191">
        <f t="shared" si="2"/>
        <v>0.843</v>
      </c>
      <c r="F56" s="1192">
        <v>0</v>
      </c>
      <c r="G56" s="1093">
        <v>0.843</v>
      </c>
    </row>
    <row r="57" spans="1:7" ht="13.5" thickBot="1">
      <c r="A57" s="1799"/>
      <c r="B57" s="1825"/>
      <c r="C57" s="1135" t="s">
        <v>24</v>
      </c>
      <c r="D57" s="1136">
        <f t="shared" si="1"/>
        <v>1404.804</v>
      </c>
      <c r="E57" s="1205">
        <f t="shared" si="2"/>
        <v>1404.804</v>
      </c>
      <c r="F57" s="1206">
        <v>0</v>
      </c>
      <c r="G57" s="1141">
        <v>1404.804</v>
      </c>
    </row>
    <row r="58" spans="1:7" ht="12.75">
      <c r="A58" s="1794" t="s">
        <v>803</v>
      </c>
      <c r="B58" s="1818" t="s">
        <v>804</v>
      </c>
      <c r="C58" s="1684" t="s">
        <v>145</v>
      </c>
      <c r="D58" s="1261">
        <f t="shared" si="1"/>
        <v>11</v>
      </c>
      <c r="E58" s="1265">
        <f t="shared" si="2"/>
        <v>11</v>
      </c>
      <c r="F58" s="1266">
        <v>0</v>
      </c>
      <c r="G58" s="1710">
        <v>11</v>
      </c>
    </row>
    <row r="59" spans="1:7" ht="13.5" thickBot="1">
      <c r="A59" s="1795"/>
      <c r="B59" s="1819"/>
      <c r="C59" s="1682" t="s">
        <v>24</v>
      </c>
      <c r="D59" s="1174">
        <f t="shared" si="1"/>
        <v>30.305</v>
      </c>
      <c r="E59" s="1269">
        <f t="shared" si="2"/>
        <v>30.305</v>
      </c>
      <c r="F59" s="1270">
        <v>0</v>
      </c>
      <c r="G59" s="1180">
        <v>30.305</v>
      </c>
    </row>
    <row r="60" spans="1:7" ht="11.25" customHeight="1">
      <c r="A60" s="1806" t="s">
        <v>805</v>
      </c>
      <c r="B60" s="1807" t="s">
        <v>806</v>
      </c>
      <c r="C60" s="1241" t="s">
        <v>145</v>
      </c>
      <c r="D60" s="1245">
        <f t="shared" si="1"/>
        <v>0</v>
      </c>
      <c r="E60" s="1191">
        <f t="shared" si="2"/>
        <v>0</v>
      </c>
      <c r="F60" s="1192">
        <v>0</v>
      </c>
      <c r="G60" s="1093">
        <v>0</v>
      </c>
    </row>
    <row r="61" spans="1:7" ht="13.5" thickBot="1">
      <c r="A61" s="1799"/>
      <c r="B61" s="1808"/>
      <c r="C61" s="1135" t="s">
        <v>24</v>
      </c>
      <c r="D61" s="1136">
        <f t="shared" si="1"/>
        <v>0</v>
      </c>
      <c r="E61" s="1205">
        <f t="shared" si="2"/>
        <v>0</v>
      </c>
      <c r="F61" s="1206">
        <v>0</v>
      </c>
      <c r="G61" s="1141">
        <v>0</v>
      </c>
    </row>
    <row r="62" spans="1:7" ht="12.75">
      <c r="A62" s="1806" t="s">
        <v>807</v>
      </c>
      <c r="B62" s="1814" t="s">
        <v>808</v>
      </c>
      <c r="C62" s="1186" t="s">
        <v>809</v>
      </c>
      <c r="D62" s="1187">
        <f t="shared" si="1"/>
        <v>0</v>
      </c>
      <c r="E62" s="1191">
        <f t="shared" si="2"/>
        <v>0</v>
      </c>
      <c r="F62" s="1192">
        <v>0</v>
      </c>
      <c r="G62" s="1093">
        <v>0</v>
      </c>
    </row>
    <row r="63" spans="1:7" ht="13.5" customHeight="1" thickBot="1">
      <c r="A63" s="1799"/>
      <c r="B63" s="1815"/>
      <c r="C63" s="1135" t="s">
        <v>24</v>
      </c>
      <c r="D63" s="1136">
        <f t="shared" si="1"/>
        <v>0</v>
      </c>
      <c r="E63" s="1205">
        <f t="shared" si="2"/>
        <v>0</v>
      </c>
      <c r="F63" s="1206">
        <v>0</v>
      </c>
      <c r="G63" s="1141">
        <v>0</v>
      </c>
    </row>
    <row r="64" spans="1:7" ht="12.75">
      <c r="A64" s="1802" t="s">
        <v>810</v>
      </c>
      <c r="B64" s="1804" t="s">
        <v>811</v>
      </c>
      <c r="C64" s="1186" t="s">
        <v>145</v>
      </c>
      <c r="D64" s="1187">
        <f t="shared" si="1"/>
        <v>32</v>
      </c>
      <c r="E64" s="1191">
        <f t="shared" si="2"/>
        <v>32</v>
      </c>
      <c r="F64" s="1192">
        <v>0</v>
      </c>
      <c r="G64" s="1093">
        <v>32</v>
      </c>
    </row>
    <row r="65" spans="1:7" ht="13.5" thickBot="1">
      <c r="A65" s="1803"/>
      <c r="B65" s="1805"/>
      <c r="C65" s="1135" t="s">
        <v>24</v>
      </c>
      <c r="D65" s="1136">
        <f t="shared" si="1"/>
        <v>622.599</v>
      </c>
      <c r="E65" s="1205">
        <f t="shared" si="2"/>
        <v>622.599</v>
      </c>
      <c r="F65" s="1206">
        <v>0</v>
      </c>
      <c r="G65" s="1141">
        <v>622.599</v>
      </c>
    </row>
    <row r="66" spans="1:7" ht="12.75">
      <c r="A66" s="1806" t="s">
        <v>812</v>
      </c>
      <c r="B66" s="1807" t="s">
        <v>813</v>
      </c>
      <c r="C66" s="1241" t="s">
        <v>145</v>
      </c>
      <c r="D66" s="1242">
        <f t="shared" si="1"/>
        <v>53</v>
      </c>
      <c r="E66" s="1191">
        <f t="shared" si="2"/>
        <v>53</v>
      </c>
      <c r="F66" s="1192">
        <v>0</v>
      </c>
      <c r="G66" s="1093">
        <v>53</v>
      </c>
    </row>
    <row r="67" spans="1:7" ht="13.5" thickBot="1">
      <c r="A67" s="1799"/>
      <c r="B67" s="1808"/>
      <c r="C67" s="1135" t="s">
        <v>24</v>
      </c>
      <c r="D67" s="1136">
        <f t="shared" si="1"/>
        <v>280.676</v>
      </c>
      <c r="E67" s="1205">
        <f t="shared" si="2"/>
        <v>280.676</v>
      </c>
      <c r="F67" s="1206">
        <v>0</v>
      </c>
      <c r="G67" s="1141">
        <v>280.676</v>
      </c>
    </row>
    <row r="68" spans="1:7" ht="15" customHeight="1">
      <c r="A68" s="1802" t="s">
        <v>814</v>
      </c>
      <c r="B68" s="1804" t="s">
        <v>815</v>
      </c>
      <c r="C68" s="1186" t="s">
        <v>816</v>
      </c>
      <c r="D68" s="1187">
        <f t="shared" si="1"/>
        <v>25</v>
      </c>
      <c r="E68" s="1191">
        <f t="shared" si="2"/>
        <v>25</v>
      </c>
      <c r="F68" s="1192">
        <v>0</v>
      </c>
      <c r="G68" s="1093">
        <v>25</v>
      </c>
    </row>
    <row r="69" spans="1:7" ht="14.25" customHeight="1">
      <c r="A69" s="1803"/>
      <c r="B69" s="1805"/>
      <c r="C69" s="1285" t="s">
        <v>24</v>
      </c>
      <c r="D69" s="1119">
        <f t="shared" si="1"/>
        <v>229.21041666666667</v>
      </c>
      <c r="E69" s="1170">
        <f t="shared" si="2"/>
        <v>229.21041666666667</v>
      </c>
      <c r="F69" s="1124">
        <v>0</v>
      </c>
      <c r="G69" s="1125">
        <f>220.042/24*25</f>
        <v>229.21041666666667</v>
      </c>
    </row>
    <row r="70" spans="1:7" ht="12.75">
      <c r="A70" s="1798" t="s">
        <v>817</v>
      </c>
      <c r="B70" s="1809" t="s">
        <v>818</v>
      </c>
      <c r="C70" s="1118" t="s">
        <v>809</v>
      </c>
      <c r="D70" s="1119">
        <f t="shared" si="1"/>
        <v>0.095</v>
      </c>
      <c r="E70" s="1166">
        <f t="shared" si="2"/>
        <v>0.095</v>
      </c>
      <c r="F70" s="1167">
        <v>0</v>
      </c>
      <c r="G70" s="1706">
        <v>0.095</v>
      </c>
    </row>
    <row r="71" spans="1:7" ht="13.5" thickBot="1">
      <c r="A71" s="1803"/>
      <c r="B71" s="1805"/>
      <c r="C71" s="1285" t="s">
        <v>24</v>
      </c>
      <c r="D71" s="1136">
        <f t="shared" si="1"/>
        <v>137.75</v>
      </c>
      <c r="E71" s="1286">
        <f t="shared" si="2"/>
        <v>137.75</v>
      </c>
      <c r="F71" s="1229">
        <v>0</v>
      </c>
      <c r="G71" s="1707">
        <v>137.75</v>
      </c>
    </row>
    <row r="72" spans="1:7" ht="17.25" customHeight="1" thickBot="1">
      <c r="A72" s="1287" t="s">
        <v>819</v>
      </c>
      <c r="B72" s="1288" t="s">
        <v>820</v>
      </c>
      <c r="C72" s="1289" t="s">
        <v>24</v>
      </c>
      <c r="D72" s="1290">
        <f t="shared" si="1"/>
        <v>7740.404981407699</v>
      </c>
      <c r="E72" s="1294">
        <f t="shared" si="2"/>
        <v>7740.404981407699</v>
      </c>
      <c r="F72" s="1295">
        <f>F74+F84+F86</f>
        <v>0</v>
      </c>
      <c r="G72" s="1711">
        <f>G74+G84+G86</f>
        <v>7740.404981407699</v>
      </c>
    </row>
    <row r="73" spans="1:7" ht="12.75">
      <c r="A73" s="1810" t="s">
        <v>821</v>
      </c>
      <c r="B73" s="1812" t="s">
        <v>822</v>
      </c>
      <c r="C73" s="1303" t="s">
        <v>779</v>
      </c>
      <c r="D73" s="1150">
        <f t="shared" si="1"/>
        <v>2.102</v>
      </c>
      <c r="E73" s="1307">
        <f t="shared" si="2"/>
        <v>2.102</v>
      </c>
      <c r="F73" s="1308">
        <f>F75+F77+F79+F81</f>
        <v>0</v>
      </c>
      <c r="G73" s="1712">
        <f>G75+G77+G79+G81</f>
        <v>2.102</v>
      </c>
    </row>
    <row r="74" spans="1:7" ht="12.75">
      <c r="A74" s="1811"/>
      <c r="B74" s="1813"/>
      <c r="C74" s="1102" t="s">
        <v>24</v>
      </c>
      <c r="D74" s="1103">
        <f t="shared" si="1"/>
        <v>2144.977203629921</v>
      </c>
      <c r="E74" s="1163">
        <f t="shared" si="2"/>
        <v>2144.977203629921</v>
      </c>
      <c r="F74" s="1319">
        <f>F76+F78+F80+F82</f>
        <v>0</v>
      </c>
      <c r="G74" s="1713">
        <f>G76+G78+G80+G82</f>
        <v>2144.977203629921</v>
      </c>
    </row>
    <row r="75" spans="1:7" ht="12.75" customHeight="1">
      <c r="A75" s="1798" t="s">
        <v>823</v>
      </c>
      <c r="B75" s="1800" t="s">
        <v>824</v>
      </c>
      <c r="C75" s="1118" t="s">
        <v>825</v>
      </c>
      <c r="D75" s="1119">
        <f t="shared" si="1"/>
        <v>0.24</v>
      </c>
      <c r="E75" s="1170">
        <f t="shared" si="2"/>
        <v>0.24</v>
      </c>
      <c r="F75" s="1329">
        <v>0</v>
      </c>
      <c r="G75" s="1714">
        <v>0.24</v>
      </c>
    </row>
    <row r="76" spans="1:7" ht="12.75" customHeight="1">
      <c r="A76" s="1798"/>
      <c r="B76" s="1800"/>
      <c r="C76" s="1118" t="s">
        <v>24</v>
      </c>
      <c r="D76" s="1119">
        <f t="shared" si="1"/>
        <v>315.74332</v>
      </c>
      <c r="E76" s="1170">
        <f t="shared" si="2"/>
        <v>315.74332</v>
      </c>
      <c r="F76" s="1329">
        <v>0</v>
      </c>
      <c r="G76" s="1714">
        <f>(1179.793*G75)+32.593</f>
        <v>315.74332</v>
      </c>
    </row>
    <row r="77" spans="1:7" ht="12.75" customHeight="1">
      <c r="A77" s="1798" t="s">
        <v>826</v>
      </c>
      <c r="B77" s="1800" t="s">
        <v>827</v>
      </c>
      <c r="C77" s="1118" t="s">
        <v>779</v>
      </c>
      <c r="D77" s="1119">
        <f t="shared" si="1"/>
        <v>0.375</v>
      </c>
      <c r="E77" s="1170">
        <f t="shared" si="2"/>
        <v>0.375</v>
      </c>
      <c r="F77" s="1329">
        <v>0</v>
      </c>
      <c r="G77" s="1714">
        <v>0.375</v>
      </c>
    </row>
    <row r="78" spans="1:7" ht="12.75" customHeight="1">
      <c r="A78" s="1798"/>
      <c r="B78" s="1800"/>
      <c r="C78" s="1118" t="s">
        <v>24</v>
      </c>
      <c r="D78" s="1119">
        <f t="shared" si="1"/>
        <v>356.743875</v>
      </c>
      <c r="E78" s="1170">
        <f t="shared" si="2"/>
        <v>356.743875</v>
      </c>
      <c r="F78" s="1329">
        <v>0</v>
      </c>
      <c r="G78" s="1714">
        <f>951.317*G77</f>
        <v>356.743875</v>
      </c>
    </row>
    <row r="79" spans="1:7" ht="12.75" customHeight="1">
      <c r="A79" s="1798" t="s">
        <v>828</v>
      </c>
      <c r="B79" s="1800" t="s">
        <v>829</v>
      </c>
      <c r="C79" s="1118" t="s">
        <v>779</v>
      </c>
      <c r="D79" s="1119">
        <f t="shared" si="1"/>
        <v>0.947</v>
      </c>
      <c r="E79" s="1170">
        <f t="shared" si="2"/>
        <v>0.947</v>
      </c>
      <c r="F79" s="1329">
        <v>0</v>
      </c>
      <c r="G79" s="1714">
        <v>0.947</v>
      </c>
    </row>
    <row r="80" spans="1:7" ht="12.75" customHeight="1">
      <c r="A80" s="1798"/>
      <c r="B80" s="1800"/>
      <c r="C80" s="1118" t="s">
        <v>24</v>
      </c>
      <c r="D80" s="1119">
        <f t="shared" si="1"/>
        <v>886.9450479999999</v>
      </c>
      <c r="E80" s="1170">
        <f t="shared" si="2"/>
        <v>886.9450479999999</v>
      </c>
      <c r="F80" s="1124">
        <v>0</v>
      </c>
      <c r="G80" s="1125">
        <f>936.584*G79</f>
        <v>886.9450479999999</v>
      </c>
    </row>
    <row r="81" spans="1:7" ht="12.75" customHeight="1">
      <c r="A81" s="1798" t="s">
        <v>830</v>
      </c>
      <c r="B81" s="1800" t="s">
        <v>831</v>
      </c>
      <c r="C81" s="1118" t="s">
        <v>779</v>
      </c>
      <c r="D81" s="1119">
        <f aca="true" t="shared" si="3" ref="D81:D98">E81</f>
        <v>0.54</v>
      </c>
      <c r="E81" s="1170">
        <f>F81+G81</f>
        <v>0.54</v>
      </c>
      <c r="F81" s="1124">
        <v>0</v>
      </c>
      <c r="G81" s="1125">
        <v>0.54</v>
      </c>
    </row>
    <row r="82" spans="1:7" ht="12.75" customHeight="1" thickBot="1">
      <c r="A82" s="1799"/>
      <c r="B82" s="1801"/>
      <c r="C82" s="1135" t="s">
        <v>24</v>
      </c>
      <c r="D82" s="1136">
        <f t="shared" si="3"/>
        <v>585.5449606299213</v>
      </c>
      <c r="E82" s="1256">
        <f t="shared" si="2"/>
        <v>585.5449606299213</v>
      </c>
      <c r="F82" s="1206">
        <v>0</v>
      </c>
      <c r="G82" s="1141">
        <f>550.846/0.508*G81</f>
        <v>585.5449606299213</v>
      </c>
    </row>
    <row r="83" spans="1:7" ht="12.75" customHeight="1">
      <c r="A83" s="1802" t="s">
        <v>832</v>
      </c>
      <c r="B83" s="1804" t="s">
        <v>833</v>
      </c>
      <c r="C83" s="1186" t="s">
        <v>145</v>
      </c>
      <c r="D83" s="1187">
        <f t="shared" si="3"/>
        <v>50</v>
      </c>
      <c r="E83" s="1166">
        <f t="shared" si="2"/>
        <v>50</v>
      </c>
      <c r="F83" s="1167">
        <v>0</v>
      </c>
      <c r="G83" s="1706">
        <v>50</v>
      </c>
    </row>
    <row r="84" spans="1:7" ht="12.75" customHeight="1" thickBot="1">
      <c r="A84" s="1803"/>
      <c r="B84" s="1805"/>
      <c r="C84" s="1135" t="s">
        <v>24</v>
      </c>
      <c r="D84" s="1136">
        <f t="shared" si="3"/>
        <v>100.72777777777777</v>
      </c>
      <c r="E84" s="1256">
        <f t="shared" si="2"/>
        <v>100.72777777777777</v>
      </c>
      <c r="F84" s="1206">
        <v>0</v>
      </c>
      <c r="G84" s="1141">
        <f>(108.786/54*G83)</f>
        <v>100.72777777777777</v>
      </c>
    </row>
    <row r="85" spans="1:7" ht="12.75">
      <c r="A85" s="1806" t="s">
        <v>834</v>
      </c>
      <c r="B85" s="1807" t="s">
        <v>835</v>
      </c>
      <c r="C85" s="1186" t="s">
        <v>145</v>
      </c>
      <c r="D85" s="1187">
        <f t="shared" si="3"/>
        <v>4778</v>
      </c>
      <c r="E85" s="1249">
        <f t="shared" si="2"/>
        <v>4778</v>
      </c>
      <c r="F85" s="1192">
        <v>0</v>
      </c>
      <c r="G85" s="1093">
        <v>4778</v>
      </c>
    </row>
    <row r="86" spans="1:7" ht="13.5" thickBot="1">
      <c r="A86" s="1799"/>
      <c r="B86" s="1808"/>
      <c r="C86" s="1135" t="s">
        <v>24</v>
      </c>
      <c r="D86" s="1201">
        <f t="shared" si="3"/>
        <v>5494.7</v>
      </c>
      <c r="E86" s="1256">
        <f aca="true" t="shared" si="4" ref="E86:E96">F86+G86</f>
        <v>5494.7</v>
      </c>
      <c r="F86" s="1206">
        <v>0</v>
      </c>
      <c r="G86" s="1141">
        <f>1.15*G85</f>
        <v>5494.7</v>
      </c>
    </row>
    <row r="87" spans="1:7" ht="17.25" customHeight="1" thickBot="1">
      <c r="A87" s="1343" t="s">
        <v>836</v>
      </c>
      <c r="B87" s="1344" t="s">
        <v>837</v>
      </c>
      <c r="C87" s="1345" t="s">
        <v>24</v>
      </c>
      <c r="D87" s="1290">
        <f t="shared" si="3"/>
        <v>3005.8698494666</v>
      </c>
      <c r="E87" s="1349">
        <f t="shared" si="4"/>
        <v>3005.8698494666</v>
      </c>
      <c r="F87" s="1350">
        <f>F89+F91+F93</f>
        <v>0</v>
      </c>
      <c r="G87" s="1715">
        <f>G89+G91+G93</f>
        <v>3005.8698494666</v>
      </c>
    </row>
    <row r="88" spans="1:7" ht="12.75">
      <c r="A88" s="1786">
        <v>25</v>
      </c>
      <c r="B88" s="1788" t="s">
        <v>838</v>
      </c>
      <c r="C88" s="1359" t="s">
        <v>779</v>
      </c>
      <c r="D88" s="1242">
        <f t="shared" si="3"/>
        <v>3.55</v>
      </c>
      <c r="E88" s="1249">
        <f t="shared" si="4"/>
        <v>3.55</v>
      </c>
      <c r="F88" s="1192">
        <v>0</v>
      </c>
      <c r="G88" s="1093">
        <v>3.55</v>
      </c>
    </row>
    <row r="89" spans="1:7" ht="13.5" thickBot="1">
      <c r="A89" s="1787"/>
      <c r="B89" s="1789"/>
      <c r="C89" s="1370" t="s">
        <v>24</v>
      </c>
      <c r="D89" s="1136">
        <f t="shared" si="3"/>
        <v>1041.7637066130799</v>
      </c>
      <c r="E89" s="1256">
        <f t="shared" si="4"/>
        <v>1041.7637066130799</v>
      </c>
      <c r="F89" s="1206">
        <v>0</v>
      </c>
      <c r="G89" s="1141">
        <f>(803.189/2.737*G88)-0.005</f>
        <v>1041.7637066130799</v>
      </c>
    </row>
    <row r="90" spans="1:7" ht="12.75">
      <c r="A90" s="1790">
        <v>26</v>
      </c>
      <c r="B90" s="1792" t="s">
        <v>839</v>
      </c>
      <c r="C90" s="1381" t="s">
        <v>840</v>
      </c>
      <c r="D90" s="1187">
        <f t="shared" si="3"/>
        <v>480</v>
      </c>
      <c r="E90" s="1166">
        <f t="shared" si="4"/>
        <v>480</v>
      </c>
      <c r="F90" s="1167">
        <v>0</v>
      </c>
      <c r="G90" s="1706">
        <v>480</v>
      </c>
    </row>
    <row r="91" spans="1:7" ht="13.5" thickBot="1">
      <c r="A91" s="1791"/>
      <c r="B91" s="1793"/>
      <c r="C91" s="1370" t="s">
        <v>24</v>
      </c>
      <c r="D91" s="1136">
        <f t="shared" si="3"/>
        <v>219.62264150943398</v>
      </c>
      <c r="E91" s="1256">
        <f t="shared" si="4"/>
        <v>219.62264150943398</v>
      </c>
      <c r="F91" s="1206">
        <v>0</v>
      </c>
      <c r="G91" s="1141">
        <f>216/477*485</f>
        <v>219.62264150943398</v>
      </c>
    </row>
    <row r="92" spans="1:7" ht="12.75">
      <c r="A92" s="1794" t="s">
        <v>841</v>
      </c>
      <c r="B92" s="1796" t="s">
        <v>842</v>
      </c>
      <c r="C92" s="1401" t="s">
        <v>840</v>
      </c>
      <c r="D92" s="1187">
        <f t="shared" si="3"/>
        <v>725</v>
      </c>
      <c r="E92" s="1249">
        <f t="shared" si="4"/>
        <v>725</v>
      </c>
      <c r="F92" s="1192">
        <v>0</v>
      </c>
      <c r="G92" s="1093">
        <v>725</v>
      </c>
    </row>
    <row r="93" spans="1:7" ht="13.5" thickBot="1">
      <c r="A93" s="1795"/>
      <c r="B93" s="1797"/>
      <c r="C93" s="1370" t="s">
        <v>24</v>
      </c>
      <c r="D93" s="1136">
        <f t="shared" si="3"/>
        <v>1744.483501344086</v>
      </c>
      <c r="E93" s="1256">
        <f t="shared" si="4"/>
        <v>1744.483501344086</v>
      </c>
      <c r="F93" s="1206">
        <v>0</v>
      </c>
      <c r="G93" s="1141">
        <f>1790.201/744*G92</f>
        <v>1744.483501344086</v>
      </c>
    </row>
    <row r="94" spans="1:7" ht="43.5" customHeight="1" thickBot="1">
      <c r="A94" s="1402" t="s">
        <v>843</v>
      </c>
      <c r="B94" s="1403" t="s">
        <v>844</v>
      </c>
      <c r="C94" s="1402" t="s">
        <v>24</v>
      </c>
      <c r="D94" s="1404">
        <f t="shared" si="3"/>
        <v>1467.8</v>
      </c>
      <c r="E94" s="1408">
        <f t="shared" si="4"/>
        <v>1467.8</v>
      </c>
      <c r="F94" s="1409">
        <f>F95+F96</f>
        <v>0</v>
      </c>
      <c r="G94" s="1716">
        <f>G95+G96</f>
        <v>1467.8</v>
      </c>
    </row>
    <row r="95" spans="1:7" ht="28.5" customHeight="1" thickBot="1">
      <c r="A95" s="1413" t="s">
        <v>845</v>
      </c>
      <c r="B95" s="1414" t="s">
        <v>846</v>
      </c>
      <c r="C95" s="1415" t="s">
        <v>24</v>
      </c>
      <c r="D95" s="1416">
        <f t="shared" si="3"/>
        <v>0</v>
      </c>
      <c r="E95" s="1420">
        <f t="shared" si="4"/>
        <v>0</v>
      </c>
      <c r="F95" s="1421">
        <v>0</v>
      </c>
      <c r="G95" s="1717">
        <v>0</v>
      </c>
    </row>
    <row r="96" spans="1:7" ht="20.25" customHeight="1" thickBot="1">
      <c r="A96" s="1413" t="s">
        <v>847</v>
      </c>
      <c r="B96" s="1414" t="s">
        <v>848</v>
      </c>
      <c r="C96" s="1432" t="s">
        <v>24</v>
      </c>
      <c r="D96" s="1416">
        <f t="shared" si="3"/>
        <v>1467.8</v>
      </c>
      <c r="E96" s="1433">
        <f t="shared" si="4"/>
        <v>1467.8</v>
      </c>
      <c r="F96" s="1434">
        <v>0</v>
      </c>
      <c r="G96" s="1718">
        <v>1467.8</v>
      </c>
    </row>
    <row r="97" spans="1:7" ht="26.25" thickBot="1">
      <c r="A97" s="1436" t="s">
        <v>849</v>
      </c>
      <c r="B97" s="1437" t="s">
        <v>850</v>
      </c>
      <c r="C97" s="1438" t="s">
        <v>24</v>
      </c>
      <c r="D97" s="1439">
        <f t="shared" si="3"/>
        <v>5331.208</v>
      </c>
      <c r="E97" s="1443">
        <v>5331.208</v>
      </c>
      <c r="F97" s="1444">
        <v>0</v>
      </c>
      <c r="G97" s="1719">
        <v>5331.208</v>
      </c>
    </row>
    <row r="98" spans="1:7" ht="18.75" customHeight="1" thickBot="1">
      <c r="A98" s="1454"/>
      <c r="B98" s="1455" t="s">
        <v>851</v>
      </c>
      <c r="C98" s="1454" t="s">
        <v>24</v>
      </c>
      <c r="D98" s="1456">
        <f t="shared" si="3"/>
        <v>46049.824247540964</v>
      </c>
      <c r="E98" s="1408">
        <f>F98+G98</f>
        <v>46049.824247540964</v>
      </c>
      <c r="F98" s="1409">
        <f>F94+F87+F72+F13+F97</f>
        <v>0</v>
      </c>
      <c r="G98" s="1716">
        <f>G94+G87+G72+G13+G97</f>
        <v>46049.824247540964</v>
      </c>
    </row>
    <row r="99" spans="1:7" ht="22.5" customHeight="1" thickBot="1">
      <c r="A99" s="1868" t="s">
        <v>852</v>
      </c>
      <c r="B99" s="1868"/>
      <c r="C99" s="1868"/>
      <c r="D99" s="1868"/>
      <c r="E99" s="1868"/>
      <c r="F99" s="1868"/>
      <c r="G99" s="1868"/>
    </row>
    <row r="100" spans="1:7" ht="12.75">
      <c r="A100" s="1781" t="s">
        <v>71</v>
      </c>
      <c r="B100" s="1777" t="s">
        <v>859</v>
      </c>
      <c r="C100" s="1468" t="s">
        <v>779</v>
      </c>
      <c r="D100" s="1469">
        <f aca="true" t="shared" si="5" ref="D100:D154">E100</f>
        <v>0</v>
      </c>
      <c r="E100" s="1495"/>
      <c r="F100" s="1496"/>
      <c r="G100" s="1497"/>
    </row>
    <row r="101" spans="1:7" ht="13.5" thickBot="1">
      <c r="A101" s="1771"/>
      <c r="B101" s="1778"/>
      <c r="C101" s="1511" t="s">
        <v>23</v>
      </c>
      <c r="D101" s="1481">
        <f t="shared" si="5"/>
        <v>0</v>
      </c>
      <c r="E101" s="1505"/>
      <c r="F101" s="1506"/>
      <c r="G101" s="1507"/>
    </row>
    <row r="102" spans="1:7" ht="12.75">
      <c r="A102" s="1775">
        <v>2</v>
      </c>
      <c r="B102" s="1777" t="s">
        <v>860</v>
      </c>
      <c r="C102" s="1468" t="s">
        <v>861</v>
      </c>
      <c r="D102" s="1469">
        <f t="shared" si="5"/>
        <v>0</v>
      </c>
      <c r="E102" s="1495"/>
      <c r="F102" s="1496"/>
      <c r="G102" s="1497"/>
    </row>
    <row r="103" spans="1:7" ht="13.5" thickBot="1">
      <c r="A103" s="1776"/>
      <c r="B103" s="1778"/>
      <c r="C103" s="1511" t="s">
        <v>24</v>
      </c>
      <c r="D103" s="1481">
        <f t="shared" si="5"/>
        <v>0</v>
      </c>
      <c r="E103" s="1505"/>
      <c r="F103" s="1506"/>
      <c r="G103" s="1507"/>
    </row>
    <row r="104" spans="1:7" ht="12" customHeight="1">
      <c r="A104" s="1779">
        <v>3</v>
      </c>
      <c r="B104" s="1777" t="s">
        <v>862</v>
      </c>
      <c r="C104" s="1527" t="s">
        <v>145</v>
      </c>
      <c r="D104" s="1469">
        <f t="shared" si="5"/>
        <v>0</v>
      </c>
      <c r="E104" s="1495"/>
      <c r="F104" s="1496"/>
      <c r="G104" s="1497"/>
    </row>
    <row r="105" spans="1:7" ht="12" customHeight="1" thickBot="1">
      <c r="A105" s="1780"/>
      <c r="B105" s="1778"/>
      <c r="C105" s="1528" t="s">
        <v>24</v>
      </c>
      <c r="D105" s="1481">
        <f t="shared" si="5"/>
        <v>0</v>
      </c>
      <c r="E105" s="1505"/>
      <c r="F105" s="1506"/>
      <c r="G105" s="1507"/>
    </row>
    <row r="106" spans="1:7" ht="12" customHeight="1">
      <c r="A106" s="1775">
        <v>4</v>
      </c>
      <c r="B106" s="1777" t="s">
        <v>863</v>
      </c>
      <c r="C106" s="1468" t="s">
        <v>864</v>
      </c>
      <c r="D106" s="1469">
        <f t="shared" si="5"/>
        <v>0</v>
      </c>
      <c r="E106" s="1495"/>
      <c r="F106" s="1496"/>
      <c r="G106" s="1497"/>
    </row>
    <row r="107" spans="1:7" ht="12" customHeight="1" thickBot="1">
      <c r="A107" s="1776"/>
      <c r="B107" s="1778"/>
      <c r="C107" s="1511" t="s">
        <v>24</v>
      </c>
      <c r="D107" s="1481">
        <f t="shared" si="5"/>
        <v>0</v>
      </c>
      <c r="E107" s="1505"/>
      <c r="F107" s="1506"/>
      <c r="G107" s="1507"/>
    </row>
    <row r="108" spans="1:7" ht="24.75" customHeight="1">
      <c r="A108" s="1685" t="s">
        <v>782</v>
      </c>
      <c r="B108" s="1530" t="s">
        <v>865</v>
      </c>
      <c r="C108" s="1531" t="s">
        <v>24</v>
      </c>
      <c r="D108" s="1469">
        <f t="shared" si="5"/>
        <v>0</v>
      </c>
      <c r="E108" s="1495"/>
      <c r="F108" s="1496"/>
      <c r="G108" s="1497"/>
    </row>
    <row r="109" spans="1:7" ht="19.5" customHeight="1" thickBot="1">
      <c r="A109" s="1537" t="s">
        <v>920</v>
      </c>
      <c r="B109" s="1538" t="s">
        <v>867</v>
      </c>
      <c r="C109" s="1515" t="s">
        <v>24</v>
      </c>
      <c r="D109" s="1481">
        <f t="shared" si="5"/>
        <v>0</v>
      </c>
      <c r="E109" s="1541"/>
      <c r="F109" s="1542"/>
      <c r="G109" s="1507"/>
    </row>
    <row r="110" spans="1:7" ht="20.25" customHeight="1" thickBot="1">
      <c r="A110" s="1413" t="s">
        <v>785</v>
      </c>
      <c r="B110" s="1414" t="s">
        <v>872</v>
      </c>
      <c r="C110" s="1561" t="s">
        <v>24</v>
      </c>
      <c r="D110" s="1723">
        <f t="shared" si="5"/>
        <v>54</v>
      </c>
      <c r="E110" s="1573">
        <f>F110+G110</f>
        <v>54</v>
      </c>
      <c r="F110" s="1574"/>
      <c r="G110" s="1575">
        <v>54</v>
      </c>
    </row>
    <row r="111" spans="1:7" ht="25.5">
      <c r="A111" s="1583">
        <v>7</v>
      </c>
      <c r="B111" s="1683" t="s">
        <v>873</v>
      </c>
      <c r="C111" s="1468" t="s">
        <v>24</v>
      </c>
      <c r="D111" s="1569">
        <f t="shared" si="5"/>
        <v>5082</v>
      </c>
      <c r="E111" s="1588">
        <f>F111+G111</f>
        <v>5082</v>
      </c>
      <c r="F111" s="1589"/>
      <c r="G111" s="1590">
        <v>5082</v>
      </c>
    </row>
    <row r="112" spans="1:7" ht="15.75">
      <c r="A112" s="1688" t="s">
        <v>921</v>
      </c>
      <c r="B112" s="1595" t="s">
        <v>875</v>
      </c>
      <c r="C112" s="1596" t="s">
        <v>23</v>
      </c>
      <c r="D112" s="1597">
        <f t="shared" si="5"/>
        <v>0</v>
      </c>
      <c r="E112" s="1601"/>
      <c r="F112" s="1602"/>
      <c r="G112" s="1603"/>
    </row>
    <row r="113" spans="1:7" ht="12.75">
      <c r="A113" s="1767" t="s">
        <v>922</v>
      </c>
      <c r="B113" s="1769" t="s">
        <v>877</v>
      </c>
      <c r="C113" s="1607" t="s">
        <v>145</v>
      </c>
      <c r="D113" s="1608">
        <f t="shared" si="5"/>
        <v>0</v>
      </c>
      <c r="E113" s="1612"/>
      <c r="F113" s="1613"/>
      <c r="G113" s="1614"/>
    </row>
    <row r="114" spans="1:7" ht="13.5" thickBot="1">
      <c r="A114" s="1771"/>
      <c r="B114" s="1772"/>
      <c r="C114" s="1501" t="s">
        <v>24</v>
      </c>
      <c r="D114" s="1620">
        <f t="shared" si="5"/>
        <v>0</v>
      </c>
      <c r="E114" s="1505"/>
      <c r="F114" s="1506"/>
      <c r="G114" s="1507"/>
    </row>
    <row r="115" spans="1:7" ht="12.75">
      <c r="A115" s="1773" t="s">
        <v>923</v>
      </c>
      <c r="B115" s="1774" t="s">
        <v>879</v>
      </c>
      <c r="C115" s="1515" t="s">
        <v>145</v>
      </c>
      <c r="D115" s="1481">
        <f t="shared" si="5"/>
        <v>0</v>
      </c>
      <c r="E115" s="1495"/>
      <c r="F115" s="1496"/>
      <c r="G115" s="1497"/>
    </row>
    <row r="116" spans="1:7" ht="12.75">
      <c r="A116" s="1768"/>
      <c r="B116" s="1770"/>
      <c r="C116" s="1607" t="s">
        <v>184</v>
      </c>
      <c r="D116" s="1608">
        <f t="shared" si="5"/>
        <v>0</v>
      </c>
      <c r="E116" s="1612"/>
      <c r="F116" s="1613"/>
      <c r="G116" s="1614"/>
    </row>
    <row r="117" spans="1:7" ht="12.75">
      <c r="A117" s="1767" t="s">
        <v>924</v>
      </c>
      <c r="B117" s="1769" t="s">
        <v>881</v>
      </c>
      <c r="C117" s="1607" t="s">
        <v>145</v>
      </c>
      <c r="D117" s="1608">
        <f t="shared" si="5"/>
        <v>0</v>
      </c>
      <c r="E117" s="1612"/>
      <c r="F117" s="1613"/>
      <c r="G117" s="1614"/>
    </row>
    <row r="118" spans="1:7" ht="12.75">
      <c r="A118" s="1768"/>
      <c r="B118" s="1770"/>
      <c r="C118" s="1607" t="s">
        <v>24</v>
      </c>
      <c r="D118" s="1608">
        <f t="shared" si="5"/>
        <v>0</v>
      </c>
      <c r="E118" s="1612"/>
      <c r="F118" s="1613"/>
      <c r="G118" s="1614"/>
    </row>
    <row r="119" spans="1:7" ht="12.75">
      <c r="A119" s="1767" t="s">
        <v>925</v>
      </c>
      <c r="B119" s="1769" t="s">
        <v>883</v>
      </c>
      <c r="C119" s="1607" t="s">
        <v>145</v>
      </c>
      <c r="D119" s="1608">
        <f t="shared" si="5"/>
        <v>0</v>
      </c>
      <c r="E119" s="1612"/>
      <c r="F119" s="1613"/>
      <c r="G119" s="1614"/>
    </row>
    <row r="120" spans="1:7" ht="13.5" thickBot="1">
      <c r="A120" s="1771"/>
      <c r="B120" s="1772"/>
      <c r="C120" s="1480" t="s">
        <v>24</v>
      </c>
      <c r="D120" s="1481">
        <f t="shared" si="5"/>
        <v>0</v>
      </c>
      <c r="E120" s="1505"/>
      <c r="F120" s="1506"/>
      <c r="G120" s="1507"/>
    </row>
    <row r="121" spans="1:7" ht="12.75">
      <c r="A121" s="1685" t="s">
        <v>789</v>
      </c>
      <c r="B121" s="1630" t="s">
        <v>884</v>
      </c>
      <c r="C121" s="1631" t="s">
        <v>24</v>
      </c>
      <c r="D121" s="1469">
        <f t="shared" si="5"/>
        <v>2730.125</v>
      </c>
      <c r="E121" s="1633">
        <f>F121+G121</f>
        <v>2730.125</v>
      </c>
      <c r="F121" s="1634">
        <v>0</v>
      </c>
      <c r="G121" s="1635">
        <v>2730.125</v>
      </c>
    </row>
    <row r="122" spans="1:7" ht="13.5" thickBot="1">
      <c r="A122" s="1686" t="s">
        <v>926</v>
      </c>
      <c r="B122" s="1640" t="s">
        <v>886</v>
      </c>
      <c r="C122" s="1641" t="s">
        <v>24</v>
      </c>
      <c r="D122" s="1481">
        <f t="shared" si="5"/>
        <v>0</v>
      </c>
      <c r="E122" s="1485"/>
      <c r="F122" s="1486">
        <v>0</v>
      </c>
      <c r="G122" s="1643"/>
    </row>
    <row r="123" spans="1:7" ht="12.75">
      <c r="A123" s="1687" t="s">
        <v>791</v>
      </c>
      <c r="B123" s="1647" t="s">
        <v>887</v>
      </c>
      <c r="C123" s="1648" t="s">
        <v>145</v>
      </c>
      <c r="D123" s="1649">
        <f t="shared" si="5"/>
        <v>11635</v>
      </c>
      <c r="E123" s="1651">
        <f>F123+G123</f>
        <v>11635</v>
      </c>
      <c r="F123" s="1652">
        <f>F125+F127+F129+F131+F133+F135+F137+F139</f>
        <v>0</v>
      </c>
      <c r="G123" s="1653">
        <f>G125+G127+G129+G131+G133+G135+G137+G139</f>
        <v>11635</v>
      </c>
    </row>
    <row r="124" spans="1:7" ht="12.75">
      <c r="A124" s="1688"/>
      <c r="B124" s="1657" t="s">
        <v>888</v>
      </c>
      <c r="C124" s="1596" t="s">
        <v>24</v>
      </c>
      <c r="D124" s="1597">
        <f t="shared" si="5"/>
        <v>1147.999688624168</v>
      </c>
      <c r="E124" s="1658">
        <f aca="true" t="shared" si="6" ref="E124:E138">F124+G124</f>
        <v>1147.999688624168</v>
      </c>
      <c r="F124" s="1659">
        <f>F126+F128+F130+F132+F134+F136+F138+F140</f>
        <v>0</v>
      </c>
      <c r="G124" s="1660">
        <f>G126+G128+G130+G132+G134+G136+G138+G140</f>
        <v>1147.999688624168</v>
      </c>
    </row>
    <row r="125" spans="1:7" ht="11.25" customHeight="1">
      <c r="A125" s="1767" t="s">
        <v>927</v>
      </c>
      <c r="B125" s="1769" t="s">
        <v>890</v>
      </c>
      <c r="C125" s="1607" t="s">
        <v>145</v>
      </c>
      <c r="D125" s="1608">
        <f t="shared" si="5"/>
        <v>90</v>
      </c>
      <c r="E125" s="1633">
        <f t="shared" si="6"/>
        <v>90</v>
      </c>
      <c r="F125" s="1634">
        <v>0</v>
      </c>
      <c r="G125" s="1665">
        <v>90</v>
      </c>
    </row>
    <row r="126" spans="1:7" ht="11.25" customHeight="1">
      <c r="A126" s="1768"/>
      <c r="B126" s="1770"/>
      <c r="C126" s="1607" t="s">
        <v>24</v>
      </c>
      <c r="D126" s="1608">
        <f t="shared" si="5"/>
        <v>53.02865853658537</v>
      </c>
      <c r="E126" s="1667">
        <f t="shared" si="6"/>
        <v>53.02865853658537</v>
      </c>
      <c r="F126" s="1668">
        <v>0</v>
      </c>
      <c r="G126" s="1665">
        <f>48.315/82*90</f>
        <v>53.02865853658537</v>
      </c>
    </row>
    <row r="127" spans="1:7" ht="11.25" customHeight="1">
      <c r="A127" s="1767" t="s">
        <v>928</v>
      </c>
      <c r="B127" s="1769" t="s">
        <v>892</v>
      </c>
      <c r="C127" s="1607" t="s">
        <v>145</v>
      </c>
      <c r="D127" s="1608">
        <f t="shared" si="5"/>
        <v>0</v>
      </c>
      <c r="E127" s="1667"/>
      <c r="F127" s="1668"/>
      <c r="G127" s="1665"/>
    </row>
    <row r="128" spans="1:7" ht="11.25" customHeight="1">
      <c r="A128" s="1768"/>
      <c r="B128" s="1770"/>
      <c r="C128" s="1607" t="s">
        <v>24</v>
      </c>
      <c r="D128" s="1608">
        <f t="shared" si="5"/>
        <v>0</v>
      </c>
      <c r="E128" s="1667"/>
      <c r="F128" s="1668"/>
      <c r="G128" s="1665"/>
    </row>
    <row r="129" spans="1:7" ht="11.25" customHeight="1">
      <c r="A129" s="1767" t="s">
        <v>929</v>
      </c>
      <c r="B129" s="1769" t="s">
        <v>894</v>
      </c>
      <c r="C129" s="1607" t="s">
        <v>145</v>
      </c>
      <c r="D129" s="1608">
        <f t="shared" si="5"/>
        <v>0</v>
      </c>
      <c r="E129" s="1667"/>
      <c r="F129" s="1668"/>
      <c r="G129" s="1665"/>
    </row>
    <row r="130" spans="1:7" ht="11.25" customHeight="1">
      <c r="A130" s="1768"/>
      <c r="B130" s="1770"/>
      <c r="C130" s="1607" t="s">
        <v>24</v>
      </c>
      <c r="D130" s="1608">
        <f t="shared" si="5"/>
        <v>0</v>
      </c>
      <c r="E130" s="1667"/>
      <c r="F130" s="1668"/>
      <c r="G130" s="1665"/>
    </row>
    <row r="131" spans="1:7" ht="12.75">
      <c r="A131" s="1767" t="s">
        <v>930</v>
      </c>
      <c r="B131" s="1769" t="s">
        <v>896</v>
      </c>
      <c r="C131" s="1607" t="s">
        <v>145</v>
      </c>
      <c r="D131" s="1608">
        <f t="shared" si="5"/>
        <v>105</v>
      </c>
      <c r="E131" s="1667">
        <f t="shared" si="6"/>
        <v>105</v>
      </c>
      <c r="F131" s="1668">
        <v>0</v>
      </c>
      <c r="G131" s="1665">
        <v>105</v>
      </c>
    </row>
    <row r="132" spans="1:7" ht="12.75">
      <c r="A132" s="1768"/>
      <c r="B132" s="1770"/>
      <c r="C132" s="1607" t="s">
        <v>24</v>
      </c>
      <c r="D132" s="1608">
        <f t="shared" si="5"/>
        <v>26.535170454545455</v>
      </c>
      <c r="E132" s="1667">
        <f t="shared" si="6"/>
        <v>26.535170454545455</v>
      </c>
      <c r="F132" s="1668">
        <v>0</v>
      </c>
      <c r="G132" s="1665">
        <f>22.239/88*105</f>
        <v>26.535170454545455</v>
      </c>
    </row>
    <row r="133" spans="1:7" ht="12.75">
      <c r="A133" s="1767" t="s">
        <v>931</v>
      </c>
      <c r="B133" s="1769" t="s">
        <v>898</v>
      </c>
      <c r="C133" s="1607" t="s">
        <v>145</v>
      </c>
      <c r="D133" s="1608">
        <f t="shared" si="5"/>
        <v>9520</v>
      </c>
      <c r="E133" s="1667">
        <f t="shared" si="6"/>
        <v>9520</v>
      </c>
      <c r="F133" s="1668">
        <v>0</v>
      </c>
      <c r="G133" s="1665">
        <v>9520</v>
      </c>
    </row>
    <row r="134" spans="1:7" ht="12.75">
      <c r="A134" s="1768"/>
      <c r="B134" s="1770"/>
      <c r="C134" s="1607" t="s">
        <v>24</v>
      </c>
      <c r="D134" s="1608">
        <f t="shared" si="5"/>
        <v>730.1285991920515</v>
      </c>
      <c r="E134" s="1667">
        <f t="shared" si="6"/>
        <v>730.1285991920515</v>
      </c>
      <c r="F134" s="1668">
        <v>0</v>
      </c>
      <c r="G134" s="1665">
        <f>702.442/9159*9520</f>
        <v>730.1285991920515</v>
      </c>
    </row>
    <row r="135" spans="1:7" ht="12.75">
      <c r="A135" s="1767" t="s">
        <v>932</v>
      </c>
      <c r="B135" s="1769" t="s">
        <v>900</v>
      </c>
      <c r="C135" s="1607" t="s">
        <v>145</v>
      </c>
      <c r="D135" s="1608">
        <f t="shared" si="5"/>
        <v>610</v>
      </c>
      <c r="E135" s="1667">
        <f t="shared" si="6"/>
        <v>610</v>
      </c>
      <c r="F135" s="1668">
        <v>0</v>
      </c>
      <c r="G135" s="1665">
        <v>610</v>
      </c>
    </row>
    <row r="136" spans="1:7" ht="12.75">
      <c r="A136" s="1768"/>
      <c r="B136" s="1770"/>
      <c r="C136" s="1607" t="s">
        <v>24</v>
      </c>
      <c r="D136" s="1608">
        <f t="shared" si="5"/>
        <v>82.13446666666667</v>
      </c>
      <c r="E136" s="1667">
        <f t="shared" si="6"/>
        <v>82.13446666666667</v>
      </c>
      <c r="F136" s="1668">
        <v>0</v>
      </c>
      <c r="G136" s="1665">
        <f>80.788/600*610</f>
        <v>82.13446666666667</v>
      </c>
    </row>
    <row r="137" spans="1:7" ht="12.75">
      <c r="A137" s="1767" t="s">
        <v>933</v>
      </c>
      <c r="B137" s="1769" t="s">
        <v>902</v>
      </c>
      <c r="C137" s="1607" t="s">
        <v>145</v>
      </c>
      <c r="D137" s="1608">
        <f t="shared" si="5"/>
        <v>1310</v>
      </c>
      <c r="E137" s="1667">
        <f t="shared" si="6"/>
        <v>1310</v>
      </c>
      <c r="F137" s="1668">
        <v>0</v>
      </c>
      <c r="G137" s="1665">
        <v>1310</v>
      </c>
    </row>
    <row r="138" spans="1:7" ht="12.75">
      <c r="A138" s="1768"/>
      <c r="B138" s="1770"/>
      <c r="C138" s="1607" t="s">
        <v>24</v>
      </c>
      <c r="D138" s="1608">
        <f t="shared" si="5"/>
        <v>256.1727937743191</v>
      </c>
      <c r="E138" s="1667">
        <f t="shared" si="6"/>
        <v>256.1727937743191</v>
      </c>
      <c r="F138" s="1668">
        <v>0</v>
      </c>
      <c r="G138" s="1665">
        <f>251.284/1285*1310</f>
        <v>256.1727937743191</v>
      </c>
    </row>
    <row r="139" spans="1:7" ht="12.75">
      <c r="A139" s="1767" t="s">
        <v>934</v>
      </c>
      <c r="B139" s="1769" t="s">
        <v>904</v>
      </c>
      <c r="C139" s="1607" t="s">
        <v>145</v>
      </c>
      <c r="D139" s="1608">
        <f t="shared" si="5"/>
        <v>0</v>
      </c>
      <c r="E139" s="1612"/>
      <c r="F139" s="1613"/>
      <c r="G139" s="1665"/>
    </row>
    <row r="140" spans="1:7" ht="13.5" thickBot="1">
      <c r="A140" s="1771"/>
      <c r="B140" s="1772"/>
      <c r="C140" s="1501" t="s">
        <v>24</v>
      </c>
      <c r="D140" s="1620">
        <f t="shared" si="5"/>
        <v>0</v>
      </c>
      <c r="E140" s="1505"/>
      <c r="F140" s="1506"/>
      <c r="G140" s="1487"/>
    </row>
    <row r="141" spans="1:7" ht="12.75">
      <c r="A141" s="1781" t="s">
        <v>949</v>
      </c>
      <c r="B141" s="1861" t="s">
        <v>892</v>
      </c>
      <c r="C141" s="1468" t="s">
        <v>145</v>
      </c>
      <c r="D141" s="1469">
        <f t="shared" si="5"/>
        <v>0</v>
      </c>
      <c r="E141" s="1473"/>
      <c r="F141" s="1474"/>
      <c r="G141" s="1475"/>
    </row>
    <row r="142" spans="1:7" ht="12.75">
      <c r="A142" s="1768"/>
      <c r="B142" s="1770"/>
      <c r="C142" s="1607" t="s">
        <v>24</v>
      </c>
      <c r="D142" s="1608">
        <f t="shared" si="5"/>
        <v>0</v>
      </c>
      <c r="E142" s="1667"/>
      <c r="F142" s="1668"/>
      <c r="G142" s="1665"/>
    </row>
    <row r="143" spans="1:7" ht="12.75">
      <c r="A143" s="1767" t="s">
        <v>950</v>
      </c>
      <c r="B143" s="1769" t="s">
        <v>894</v>
      </c>
      <c r="C143" s="1607" t="s">
        <v>145</v>
      </c>
      <c r="D143" s="1608">
        <f t="shared" si="5"/>
        <v>0</v>
      </c>
      <c r="E143" s="1667"/>
      <c r="F143" s="1668"/>
      <c r="G143" s="1665"/>
    </row>
    <row r="144" spans="1:7" ht="12.75">
      <c r="A144" s="1768"/>
      <c r="B144" s="1770"/>
      <c r="C144" s="1607" t="s">
        <v>24</v>
      </c>
      <c r="D144" s="1608">
        <f t="shared" si="5"/>
        <v>0</v>
      </c>
      <c r="E144" s="1667"/>
      <c r="F144" s="1668"/>
      <c r="G144" s="1665"/>
    </row>
    <row r="145" spans="1:7" ht="12.75">
      <c r="A145" s="1767" t="s">
        <v>951</v>
      </c>
      <c r="B145" s="1769" t="s">
        <v>896</v>
      </c>
      <c r="C145" s="1607" t="s">
        <v>145</v>
      </c>
      <c r="D145" s="1608">
        <f t="shared" si="5"/>
        <v>0</v>
      </c>
      <c r="E145" s="1667">
        <f aca="true" t="shared" si="7" ref="E145:E152">F145+G145</f>
        <v>0</v>
      </c>
      <c r="F145" s="1668">
        <v>0</v>
      </c>
      <c r="G145" s="1665">
        <v>0</v>
      </c>
    </row>
    <row r="146" spans="1:7" ht="12.75">
      <c r="A146" s="1768"/>
      <c r="B146" s="1770"/>
      <c r="C146" s="1607" t="s">
        <v>24</v>
      </c>
      <c r="D146" s="1608">
        <f t="shared" si="5"/>
        <v>0</v>
      </c>
      <c r="E146" s="1667">
        <f t="shared" si="7"/>
        <v>0</v>
      </c>
      <c r="F146" s="1668">
        <v>0</v>
      </c>
      <c r="G146" s="1665">
        <v>0</v>
      </c>
    </row>
    <row r="147" spans="1:7" ht="12.75">
      <c r="A147" s="1767" t="s">
        <v>952</v>
      </c>
      <c r="B147" s="1769" t="s">
        <v>898</v>
      </c>
      <c r="C147" s="1607" t="s">
        <v>145</v>
      </c>
      <c r="D147" s="1608">
        <f t="shared" si="5"/>
        <v>0</v>
      </c>
      <c r="E147" s="1667">
        <f t="shared" si="7"/>
        <v>0</v>
      </c>
      <c r="F147" s="1668">
        <v>0</v>
      </c>
      <c r="G147" s="1665">
        <v>0</v>
      </c>
    </row>
    <row r="148" spans="1:7" ht="12.75">
      <c r="A148" s="1768"/>
      <c r="B148" s="1770"/>
      <c r="C148" s="1607" t="s">
        <v>24</v>
      </c>
      <c r="D148" s="1608">
        <f t="shared" si="5"/>
        <v>0</v>
      </c>
      <c r="E148" s="1667">
        <f t="shared" si="7"/>
        <v>0</v>
      </c>
      <c r="F148" s="1668">
        <v>0</v>
      </c>
      <c r="G148" s="1665">
        <v>0</v>
      </c>
    </row>
    <row r="149" spans="1:7" ht="12.75">
      <c r="A149" s="1767" t="s">
        <v>953</v>
      </c>
      <c r="B149" s="1769" t="s">
        <v>900</v>
      </c>
      <c r="C149" s="1607" t="s">
        <v>145</v>
      </c>
      <c r="D149" s="1608">
        <f t="shared" si="5"/>
        <v>0</v>
      </c>
      <c r="E149" s="1667">
        <f t="shared" si="7"/>
        <v>0</v>
      </c>
      <c r="F149" s="1668">
        <v>0</v>
      </c>
      <c r="G149" s="1665">
        <v>0</v>
      </c>
    </row>
    <row r="150" spans="1:7" ht="12.75">
      <c r="A150" s="1768"/>
      <c r="B150" s="1770"/>
      <c r="C150" s="1607" t="s">
        <v>24</v>
      </c>
      <c r="D150" s="1608">
        <f t="shared" si="5"/>
        <v>0</v>
      </c>
      <c r="E150" s="1667">
        <f t="shared" si="7"/>
        <v>0</v>
      </c>
      <c r="F150" s="1668">
        <v>0</v>
      </c>
      <c r="G150" s="1665">
        <v>0</v>
      </c>
    </row>
    <row r="151" spans="1:7" ht="12.75">
      <c r="A151" s="1767" t="s">
        <v>954</v>
      </c>
      <c r="B151" s="1769" t="s">
        <v>902</v>
      </c>
      <c r="C151" s="1607" t="s">
        <v>145</v>
      </c>
      <c r="D151" s="1608">
        <f t="shared" si="5"/>
        <v>0</v>
      </c>
      <c r="E151" s="1667">
        <f t="shared" si="7"/>
        <v>0</v>
      </c>
      <c r="F151" s="1668">
        <v>0</v>
      </c>
      <c r="G151" s="1665">
        <v>0</v>
      </c>
    </row>
    <row r="152" spans="1:7" ht="12.75">
      <c r="A152" s="1768"/>
      <c r="B152" s="1770"/>
      <c r="C152" s="1607" t="s">
        <v>24</v>
      </c>
      <c r="D152" s="1608">
        <f t="shared" si="5"/>
        <v>0</v>
      </c>
      <c r="E152" s="1667">
        <f t="shared" si="7"/>
        <v>0</v>
      </c>
      <c r="F152" s="1668">
        <v>0</v>
      </c>
      <c r="G152" s="1665">
        <v>0</v>
      </c>
    </row>
    <row r="153" spans="1:7" ht="12.75">
      <c r="A153" s="1767" t="s">
        <v>955</v>
      </c>
      <c r="B153" s="1769" t="s">
        <v>904</v>
      </c>
      <c r="C153" s="1607" t="s">
        <v>145</v>
      </c>
      <c r="D153" s="1608">
        <f t="shared" si="5"/>
        <v>0</v>
      </c>
      <c r="E153" s="1612"/>
      <c r="F153" s="1613"/>
      <c r="G153" s="1665"/>
    </row>
    <row r="154" spans="1:7" ht="13.5" thickBot="1">
      <c r="A154" s="1768"/>
      <c r="B154" s="1772"/>
      <c r="C154" s="1501" t="s">
        <v>24</v>
      </c>
      <c r="D154" s="1620">
        <f t="shared" si="5"/>
        <v>0</v>
      </c>
      <c r="E154" s="1505"/>
      <c r="F154" s="1506"/>
      <c r="G154" s="1487"/>
    </row>
    <row r="155" spans="1:7" ht="12.75">
      <c r="A155" s="1748"/>
      <c r="B155" s="1749"/>
      <c r="C155" s="1750"/>
      <c r="D155" s="1751"/>
      <c r="E155" s="1752"/>
      <c r="F155" s="1752"/>
      <c r="G155" s="1753"/>
    </row>
    <row r="156" spans="1:7" ht="12.75">
      <c r="A156" s="1046"/>
      <c r="B156" s="1046"/>
      <c r="C156" s="1046"/>
      <c r="D156" s="1674"/>
      <c r="E156" s="1046"/>
      <c r="F156" s="1046"/>
      <c r="G156" s="1046"/>
    </row>
    <row r="157" spans="1:7" ht="12.75">
      <c r="A157" s="1046"/>
      <c r="B157" s="1867" t="s">
        <v>37</v>
      </c>
      <c r="C157" s="1867"/>
      <c r="D157" s="1704"/>
      <c r="E157" s="1704"/>
      <c r="F157" s="1705" t="s">
        <v>909</v>
      </c>
      <c r="G157" s="1046"/>
    </row>
    <row r="158" spans="1:7" ht="15.75">
      <c r="A158" s="1046"/>
      <c r="B158" s="1765"/>
      <c r="C158" s="1765"/>
      <c r="D158" s="1675"/>
      <c r="E158" s="1675"/>
      <c r="F158" s="1675"/>
      <c r="G158" s="1675"/>
    </row>
    <row r="159" spans="1:7" ht="15.75">
      <c r="A159" s="1046"/>
      <c r="B159" s="1702" t="s">
        <v>935</v>
      </c>
      <c r="C159" s="15"/>
      <c r="D159" s="1675"/>
      <c r="E159" s="1675"/>
      <c r="F159" s="1675"/>
      <c r="G159" s="1675"/>
    </row>
    <row r="160" spans="1:7" ht="15.75">
      <c r="A160" s="1046"/>
      <c r="B160" s="1862" t="s">
        <v>936</v>
      </c>
      <c r="C160" s="1862"/>
      <c r="D160" s="1677"/>
      <c r="E160" s="1677"/>
      <c r="F160" s="1675"/>
      <c r="G160" s="1675"/>
    </row>
    <row r="161" spans="1:7" ht="15.75">
      <c r="A161" s="1046"/>
      <c r="B161" s="112" t="s">
        <v>937</v>
      </c>
      <c r="C161" s="1703"/>
      <c r="D161" s="1681"/>
      <c r="E161" s="1681"/>
      <c r="F161" s="1681"/>
      <c r="G161" s="1681"/>
    </row>
    <row r="162" spans="1:7" ht="15.75">
      <c r="A162" s="1046"/>
      <c r="B162" s="1766"/>
      <c r="C162" s="1766"/>
      <c r="D162" s="1680"/>
      <c r="E162" s="1680"/>
      <c r="F162" s="1049"/>
      <c r="G162" s="1680"/>
    </row>
    <row r="163" spans="1:7" ht="15.75">
      <c r="A163" s="1046"/>
      <c r="B163" s="1678"/>
      <c r="C163" s="333"/>
      <c r="D163" s="333"/>
      <c r="E163" s="333"/>
      <c r="F163" s="333"/>
      <c r="G163" s="333"/>
    </row>
    <row r="164" spans="1:7" ht="12.75">
      <c r="A164" s="1046"/>
      <c r="B164" s="1046"/>
      <c r="C164" s="1046"/>
      <c r="D164" s="1674"/>
      <c r="E164" s="1046"/>
      <c r="F164" s="1046"/>
      <c r="G164" s="1046"/>
    </row>
  </sheetData>
  <mergeCells count="130">
    <mergeCell ref="A14:A16"/>
    <mergeCell ref="A17:A18"/>
    <mergeCell ref="B17:B18"/>
    <mergeCell ref="A19:A20"/>
    <mergeCell ref="B19:B20"/>
    <mergeCell ref="A22:A23"/>
    <mergeCell ref="B22:B23"/>
    <mergeCell ref="E11:G11"/>
    <mergeCell ref="A9:G9"/>
    <mergeCell ref="A11:A12"/>
    <mergeCell ref="A30:A31"/>
    <mergeCell ref="B30:B31"/>
    <mergeCell ref="A33:A34"/>
    <mergeCell ref="B33:B34"/>
    <mergeCell ref="A35:A36"/>
    <mergeCell ref="B35:B36"/>
    <mergeCell ref="A24:A25"/>
    <mergeCell ref="B24:B25"/>
    <mergeCell ref="A26:A27"/>
    <mergeCell ref="B26:B27"/>
    <mergeCell ref="A28:A29"/>
    <mergeCell ref="B28:B29"/>
    <mergeCell ref="A44:A45"/>
    <mergeCell ref="B44:B45"/>
    <mergeCell ref="A46:A47"/>
    <mergeCell ref="B46:B47"/>
    <mergeCell ref="A48:A49"/>
    <mergeCell ref="B48:B49"/>
    <mergeCell ref="A37:A39"/>
    <mergeCell ref="B37:B39"/>
    <mergeCell ref="A40:A41"/>
    <mergeCell ref="B40:B41"/>
    <mergeCell ref="A42:A43"/>
    <mergeCell ref="B42:B43"/>
    <mergeCell ref="A56:A57"/>
    <mergeCell ref="B56:B57"/>
    <mergeCell ref="A58:A59"/>
    <mergeCell ref="B58:B59"/>
    <mergeCell ref="A60:A61"/>
    <mergeCell ref="B60:B61"/>
    <mergeCell ref="A50:A51"/>
    <mergeCell ref="B50:B51"/>
    <mergeCell ref="A52:A53"/>
    <mergeCell ref="B52:B53"/>
    <mergeCell ref="A54:A55"/>
    <mergeCell ref="B54:B55"/>
    <mergeCell ref="A68:A69"/>
    <mergeCell ref="B68:B69"/>
    <mergeCell ref="A70:A71"/>
    <mergeCell ref="B70:B71"/>
    <mergeCell ref="A73:A74"/>
    <mergeCell ref="B73:B74"/>
    <mergeCell ref="A62:A63"/>
    <mergeCell ref="B62:B63"/>
    <mergeCell ref="A64:A65"/>
    <mergeCell ref="B64:B65"/>
    <mergeCell ref="A66:A67"/>
    <mergeCell ref="B66:B67"/>
    <mergeCell ref="A81:A82"/>
    <mergeCell ref="B81:B82"/>
    <mergeCell ref="A83:A84"/>
    <mergeCell ref="B83:B84"/>
    <mergeCell ref="A85:A86"/>
    <mergeCell ref="B85:B86"/>
    <mergeCell ref="A75:A76"/>
    <mergeCell ref="B75:B76"/>
    <mergeCell ref="A77:A78"/>
    <mergeCell ref="B77:B78"/>
    <mergeCell ref="A79:A80"/>
    <mergeCell ref="B79:B80"/>
    <mergeCell ref="A100:A101"/>
    <mergeCell ref="B100:B101"/>
    <mergeCell ref="A99:G99"/>
    <mergeCell ref="A88:A89"/>
    <mergeCell ref="B88:B89"/>
    <mergeCell ref="A90:A91"/>
    <mergeCell ref="B90:B91"/>
    <mergeCell ref="A92:A93"/>
    <mergeCell ref="B92:B93"/>
    <mergeCell ref="B127:B128"/>
    <mergeCell ref="A113:A114"/>
    <mergeCell ref="B113:B114"/>
    <mergeCell ref="A115:A116"/>
    <mergeCell ref="B115:B116"/>
    <mergeCell ref="A117:A118"/>
    <mergeCell ref="B117:B118"/>
    <mergeCell ref="A102:A103"/>
    <mergeCell ref="B102:B103"/>
    <mergeCell ref="A104:A105"/>
    <mergeCell ref="B104:B105"/>
    <mergeCell ref="A106:A107"/>
    <mergeCell ref="B106:B107"/>
    <mergeCell ref="B158:C158"/>
    <mergeCell ref="B160:C160"/>
    <mergeCell ref="B162:C162"/>
    <mergeCell ref="B11:B12"/>
    <mergeCell ref="C11:C12"/>
    <mergeCell ref="D11:D12"/>
    <mergeCell ref="B157:C157"/>
    <mergeCell ref="A135:A136"/>
    <mergeCell ref="B135:B136"/>
    <mergeCell ref="A137:A138"/>
    <mergeCell ref="B137:B138"/>
    <mergeCell ref="A139:A140"/>
    <mergeCell ref="B139:B140"/>
    <mergeCell ref="A129:A130"/>
    <mergeCell ref="B129:B130"/>
    <mergeCell ref="A131:A132"/>
    <mergeCell ref="B131:B132"/>
    <mergeCell ref="A133:A134"/>
    <mergeCell ref="B133:B134"/>
    <mergeCell ref="A119:A120"/>
    <mergeCell ref="B119:B120"/>
    <mergeCell ref="A125:A126"/>
    <mergeCell ref="B125:B126"/>
    <mergeCell ref="A127:A128"/>
    <mergeCell ref="A151:A152"/>
    <mergeCell ref="B151:B152"/>
    <mergeCell ref="A153:A154"/>
    <mergeCell ref="B153:B154"/>
    <mergeCell ref="A141:A142"/>
    <mergeCell ref="B141:B142"/>
    <mergeCell ref="A143:A144"/>
    <mergeCell ref="B143:B144"/>
    <mergeCell ref="A145:A146"/>
    <mergeCell ref="B145:B146"/>
    <mergeCell ref="A147:A148"/>
    <mergeCell ref="B147:B148"/>
    <mergeCell ref="A149:A150"/>
    <mergeCell ref="B149:B150"/>
  </mergeCells>
  <printOptions/>
  <pageMargins left="0.25" right="0.25" top="0.75" bottom="0.75" header="0.3" footer="0.3"/>
  <pageSetup fitToHeight="0" fitToWidth="1" horizontalDpi="600" verticalDpi="600" orientation="portrait" paperSize="9" scale="87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9001026153564"/>
  </sheetPr>
  <dimension ref="A1:G28"/>
  <sheetViews>
    <sheetView workbookViewId="0" topLeftCell="A13">
      <selection activeCell="I19" sqref="I19"/>
    </sheetView>
  </sheetViews>
  <sheetFormatPr defaultColWidth="9.00390625" defaultRowHeight="12.75"/>
  <cols>
    <col min="1" max="1" width="6.625" style="0" customWidth="1"/>
    <col min="2" max="2" width="5.00390625" style="31" customWidth="1"/>
    <col min="3" max="3" width="23.375" style="0" customWidth="1"/>
    <col min="4" max="4" width="8.875" style="0" customWidth="1"/>
    <col min="5" max="5" width="13.75390625" style="0" customWidth="1"/>
    <col min="6" max="6" width="26.875" style="31" customWidth="1"/>
    <col min="239" max="239" width="6.625" style="0" customWidth="1"/>
    <col min="240" max="240" width="5.00390625" style="0" customWidth="1"/>
    <col min="241" max="241" width="23.375" style="0" customWidth="1"/>
    <col min="242" max="242" width="8.875" style="0" customWidth="1"/>
    <col min="243" max="243" width="13.75390625" style="0" customWidth="1"/>
    <col min="244" max="244" width="26.875" style="0" customWidth="1"/>
    <col min="245" max="247" width="9.00390625" style="0" hidden="1" customWidth="1"/>
    <col min="495" max="495" width="6.625" style="0" customWidth="1"/>
    <col min="496" max="496" width="5.00390625" style="0" customWidth="1"/>
    <col min="497" max="497" width="23.375" style="0" customWidth="1"/>
    <col min="498" max="498" width="8.875" style="0" customWidth="1"/>
    <col min="499" max="499" width="13.75390625" style="0" customWidth="1"/>
    <col min="500" max="500" width="26.875" style="0" customWidth="1"/>
    <col min="501" max="503" width="9.00390625" style="0" hidden="1" customWidth="1"/>
    <col min="751" max="751" width="6.625" style="0" customWidth="1"/>
    <col min="752" max="752" width="5.00390625" style="0" customWidth="1"/>
    <col min="753" max="753" width="23.375" style="0" customWidth="1"/>
    <col min="754" max="754" width="8.875" style="0" customWidth="1"/>
    <col min="755" max="755" width="13.75390625" style="0" customWidth="1"/>
    <col min="756" max="756" width="26.875" style="0" customWidth="1"/>
    <col min="757" max="759" width="9.00390625" style="0" hidden="1" customWidth="1"/>
    <col min="1007" max="1007" width="6.625" style="0" customWidth="1"/>
    <col min="1008" max="1008" width="5.00390625" style="0" customWidth="1"/>
    <col min="1009" max="1009" width="23.375" style="0" customWidth="1"/>
    <col min="1010" max="1010" width="8.875" style="0" customWidth="1"/>
    <col min="1011" max="1011" width="13.75390625" style="0" customWidth="1"/>
    <col min="1012" max="1012" width="26.875" style="0" customWidth="1"/>
    <col min="1013" max="1015" width="9.00390625" style="0" hidden="1" customWidth="1"/>
    <col min="1263" max="1263" width="6.625" style="0" customWidth="1"/>
    <col min="1264" max="1264" width="5.00390625" style="0" customWidth="1"/>
    <col min="1265" max="1265" width="23.375" style="0" customWidth="1"/>
    <col min="1266" max="1266" width="8.875" style="0" customWidth="1"/>
    <col min="1267" max="1267" width="13.75390625" style="0" customWidth="1"/>
    <col min="1268" max="1268" width="26.875" style="0" customWidth="1"/>
    <col min="1269" max="1271" width="9.00390625" style="0" hidden="1" customWidth="1"/>
    <col min="1519" max="1519" width="6.625" style="0" customWidth="1"/>
    <col min="1520" max="1520" width="5.00390625" style="0" customWidth="1"/>
    <col min="1521" max="1521" width="23.375" style="0" customWidth="1"/>
    <col min="1522" max="1522" width="8.875" style="0" customWidth="1"/>
    <col min="1523" max="1523" width="13.75390625" style="0" customWidth="1"/>
    <col min="1524" max="1524" width="26.875" style="0" customWidth="1"/>
    <col min="1525" max="1527" width="9.00390625" style="0" hidden="1" customWidth="1"/>
    <col min="1775" max="1775" width="6.625" style="0" customWidth="1"/>
    <col min="1776" max="1776" width="5.00390625" style="0" customWidth="1"/>
    <col min="1777" max="1777" width="23.375" style="0" customWidth="1"/>
    <col min="1778" max="1778" width="8.875" style="0" customWidth="1"/>
    <col min="1779" max="1779" width="13.75390625" style="0" customWidth="1"/>
    <col min="1780" max="1780" width="26.875" style="0" customWidth="1"/>
    <col min="1781" max="1783" width="9.00390625" style="0" hidden="1" customWidth="1"/>
    <col min="2031" max="2031" width="6.625" style="0" customWidth="1"/>
    <col min="2032" max="2032" width="5.00390625" style="0" customWidth="1"/>
    <col min="2033" max="2033" width="23.375" style="0" customWidth="1"/>
    <col min="2034" max="2034" width="8.875" style="0" customWidth="1"/>
    <col min="2035" max="2035" width="13.75390625" style="0" customWidth="1"/>
    <col min="2036" max="2036" width="26.875" style="0" customWidth="1"/>
    <col min="2037" max="2039" width="9.00390625" style="0" hidden="1" customWidth="1"/>
    <col min="2287" max="2287" width="6.625" style="0" customWidth="1"/>
    <col min="2288" max="2288" width="5.00390625" style="0" customWidth="1"/>
    <col min="2289" max="2289" width="23.375" style="0" customWidth="1"/>
    <col min="2290" max="2290" width="8.875" style="0" customWidth="1"/>
    <col min="2291" max="2291" width="13.75390625" style="0" customWidth="1"/>
    <col min="2292" max="2292" width="26.875" style="0" customWidth="1"/>
    <col min="2293" max="2295" width="9.00390625" style="0" hidden="1" customWidth="1"/>
    <col min="2543" max="2543" width="6.625" style="0" customWidth="1"/>
    <col min="2544" max="2544" width="5.00390625" style="0" customWidth="1"/>
    <col min="2545" max="2545" width="23.375" style="0" customWidth="1"/>
    <col min="2546" max="2546" width="8.875" style="0" customWidth="1"/>
    <col min="2547" max="2547" width="13.75390625" style="0" customWidth="1"/>
    <col min="2548" max="2548" width="26.875" style="0" customWidth="1"/>
    <col min="2549" max="2551" width="9.00390625" style="0" hidden="1" customWidth="1"/>
    <col min="2799" max="2799" width="6.625" style="0" customWidth="1"/>
    <col min="2800" max="2800" width="5.00390625" style="0" customWidth="1"/>
    <col min="2801" max="2801" width="23.375" style="0" customWidth="1"/>
    <col min="2802" max="2802" width="8.875" style="0" customWidth="1"/>
    <col min="2803" max="2803" width="13.75390625" style="0" customWidth="1"/>
    <col min="2804" max="2804" width="26.875" style="0" customWidth="1"/>
    <col min="2805" max="2807" width="9.00390625" style="0" hidden="1" customWidth="1"/>
    <col min="3055" max="3055" width="6.625" style="0" customWidth="1"/>
    <col min="3056" max="3056" width="5.00390625" style="0" customWidth="1"/>
    <col min="3057" max="3057" width="23.375" style="0" customWidth="1"/>
    <col min="3058" max="3058" width="8.875" style="0" customWidth="1"/>
    <col min="3059" max="3059" width="13.75390625" style="0" customWidth="1"/>
    <col min="3060" max="3060" width="26.875" style="0" customWidth="1"/>
    <col min="3061" max="3063" width="9.00390625" style="0" hidden="1" customWidth="1"/>
    <col min="3311" max="3311" width="6.625" style="0" customWidth="1"/>
    <col min="3312" max="3312" width="5.00390625" style="0" customWidth="1"/>
    <col min="3313" max="3313" width="23.375" style="0" customWidth="1"/>
    <col min="3314" max="3314" width="8.875" style="0" customWidth="1"/>
    <col min="3315" max="3315" width="13.75390625" style="0" customWidth="1"/>
    <col min="3316" max="3316" width="26.875" style="0" customWidth="1"/>
    <col min="3317" max="3319" width="9.00390625" style="0" hidden="1" customWidth="1"/>
    <col min="3567" max="3567" width="6.625" style="0" customWidth="1"/>
    <col min="3568" max="3568" width="5.00390625" style="0" customWidth="1"/>
    <col min="3569" max="3569" width="23.375" style="0" customWidth="1"/>
    <col min="3570" max="3570" width="8.875" style="0" customWidth="1"/>
    <col min="3571" max="3571" width="13.75390625" style="0" customWidth="1"/>
    <col min="3572" max="3572" width="26.875" style="0" customWidth="1"/>
    <col min="3573" max="3575" width="9.00390625" style="0" hidden="1" customWidth="1"/>
    <col min="3823" max="3823" width="6.625" style="0" customWidth="1"/>
    <col min="3824" max="3824" width="5.00390625" style="0" customWidth="1"/>
    <col min="3825" max="3825" width="23.375" style="0" customWidth="1"/>
    <col min="3826" max="3826" width="8.875" style="0" customWidth="1"/>
    <col min="3827" max="3827" width="13.75390625" style="0" customWidth="1"/>
    <col min="3828" max="3828" width="26.875" style="0" customWidth="1"/>
    <col min="3829" max="3831" width="9.00390625" style="0" hidden="1" customWidth="1"/>
    <col min="4079" max="4079" width="6.625" style="0" customWidth="1"/>
    <col min="4080" max="4080" width="5.00390625" style="0" customWidth="1"/>
    <col min="4081" max="4081" width="23.375" style="0" customWidth="1"/>
    <col min="4082" max="4082" width="8.875" style="0" customWidth="1"/>
    <col min="4083" max="4083" width="13.75390625" style="0" customWidth="1"/>
    <col min="4084" max="4084" width="26.875" style="0" customWidth="1"/>
    <col min="4085" max="4087" width="9.00390625" style="0" hidden="1" customWidth="1"/>
    <col min="4335" max="4335" width="6.625" style="0" customWidth="1"/>
    <col min="4336" max="4336" width="5.00390625" style="0" customWidth="1"/>
    <col min="4337" max="4337" width="23.375" style="0" customWidth="1"/>
    <col min="4338" max="4338" width="8.875" style="0" customWidth="1"/>
    <col min="4339" max="4339" width="13.75390625" style="0" customWidth="1"/>
    <col min="4340" max="4340" width="26.875" style="0" customWidth="1"/>
    <col min="4341" max="4343" width="9.00390625" style="0" hidden="1" customWidth="1"/>
    <col min="4591" max="4591" width="6.625" style="0" customWidth="1"/>
    <col min="4592" max="4592" width="5.00390625" style="0" customWidth="1"/>
    <col min="4593" max="4593" width="23.375" style="0" customWidth="1"/>
    <col min="4594" max="4594" width="8.875" style="0" customWidth="1"/>
    <col min="4595" max="4595" width="13.75390625" style="0" customWidth="1"/>
    <col min="4596" max="4596" width="26.875" style="0" customWidth="1"/>
    <col min="4597" max="4599" width="9.00390625" style="0" hidden="1" customWidth="1"/>
    <col min="4847" max="4847" width="6.625" style="0" customWidth="1"/>
    <col min="4848" max="4848" width="5.00390625" style="0" customWidth="1"/>
    <col min="4849" max="4849" width="23.375" style="0" customWidth="1"/>
    <col min="4850" max="4850" width="8.875" style="0" customWidth="1"/>
    <col min="4851" max="4851" width="13.75390625" style="0" customWidth="1"/>
    <col min="4852" max="4852" width="26.875" style="0" customWidth="1"/>
    <col min="4853" max="4855" width="9.00390625" style="0" hidden="1" customWidth="1"/>
    <col min="5103" max="5103" width="6.625" style="0" customWidth="1"/>
    <col min="5104" max="5104" width="5.00390625" style="0" customWidth="1"/>
    <col min="5105" max="5105" width="23.375" style="0" customWidth="1"/>
    <col min="5106" max="5106" width="8.875" style="0" customWidth="1"/>
    <col min="5107" max="5107" width="13.75390625" style="0" customWidth="1"/>
    <col min="5108" max="5108" width="26.875" style="0" customWidth="1"/>
    <col min="5109" max="5111" width="9.00390625" style="0" hidden="1" customWidth="1"/>
    <col min="5359" max="5359" width="6.625" style="0" customWidth="1"/>
    <col min="5360" max="5360" width="5.00390625" style="0" customWidth="1"/>
    <col min="5361" max="5361" width="23.375" style="0" customWidth="1"/>
    <col min="5362" max="5362" width="8.875" style="0" customWidth="1"/>
    <col min="5363" max="5363" width="13.75390625" style="0" customWidth="1"/>
    <col min="5364" max="5364" width="26.875" style="0" customWidth="1"/>
    <col min="5365" max="5367" width="9.00390625" style="0" hidden="1" customWidth="1"/>
    <col min="5615" max="5615" width="6.625" style="0" customWidth="1"/>
    <col min="5616" max="5616" width="5.00390625" style="0" customWidth="1"/>
    <col min="5617" max="5617" width="23.375" style="0" customWidth="1"/>
    <col min="5618" max="5618" width="8.875" style="0" customWidth="1"/>
    <col min="5619" max="5619" width="13.75390625" style="0" customWidth="1"/>
    <col min="5620" max="5620" width="26.875" style="0" customWidth="1"/>
    <col min="5621" max="5623" width="9.00390625" style="0" hidden="1" customWidth="1"/>
    <col min="5871" max="5871" width="6.625" style="0" customWidth="1"/>
    <col min="5872" max="5872" width="5.00390625" style="0" customWidth="1"/>
    <col min="5873" max="5873" width="23.375" style="0" customWidth="1"/>
    <col min="5874" max="5874" width="8.875" style="0" customWidth="1"/>
    <col min="5875" max="5875" width="13.75390625" style="0" customWidth="1"/>
    <col min="5876" max="5876" width="26.875" style="0" customWidth="1"/>
    <col min="5877" max="5879" width="9.00390625" style="0" hidden="1" customWidth="1"/>
    <col min="6127" max="6127" width="6.625" style="0" customWidth="1"/>
    <col min="6128" max="6128" width="5.00390625" style="0" customWidth="1"/>
    <col min="6129" max="6129" width="23.375" style="0" customWidth="1"/>
    <col min="6130" max="6130" width="8.875" style="0" customWidth="1"/>
    <col min="6131" max="6131" width="13.75390625" style="0" customWidth="1"/>
    <col min="6132" max="6132" width="26.875" style="0" customWidth="1"/>
    <col min="6133" max="6135" width="9.00390625" style="0" hidden="1" customWidth="1"/>
    <col min="6383" max="6383" width="6.625" style="0" customWidth="1"/>
    <col min="6384" max="6384" width="5.00390625" style="0" customWidth="1"/>
    <col min="6385" max="6385" width="23.375" style="0" customWidth="1"/>
    <col min="6386" max="6386" width="8.875" style="0" customWidth="1"/>
    <col min="6387" max="6387" width="13.75390625" style="0" customWidth="1"/>
    <col min="6388" max="6388" width="26.875" style="0" customWidth="1"/>
    <col min="6389" max="6391" width="9.00390625" style="0" hidden="1" customWidth="1"/>
    <col min="6639" max="6639" width="6.625" style="0" customWidth="1"/>
    <col min="6640" max="6640" width="5.00390625" style="0" customWidth="1"/>
    <col min="6641" max="6641" width="23.375" style="0" customWidth="1"/>
    <col min="6642" max="6642" width="8.875" style="0" customWidth="1"/>
    <col min="6643" max="6643" width="13.75390625" style="0" customWidth="1"/>
    <col min="6644" max="6644" width="26.875" style="0" customWidth="1"/>
    <col min="6645" max="6647" width="9.00390625" style="0" hidden="1" customWidth="1"/>
    <col min="6895" max="6895" width="6.625" style="0" customWidth="1"/>
    <col min="6896" max="6896" width="5.00390625" style="0" customWidth="1"/>
    <col min="6897" max="6897" width="23.375" style="0" customWidth="1"/>
    <col min="6898" max="6898" width="8.875" style="0" customWidth="1"/>
    <col min="6899" max="6899" width="13.75390625" style="0" customWidth="1"/>
    <col min="6900" max="6900" width="26.875" style="0" customWidth="1"/>
    <col min="6901" max="6903" width="9.00390625" style="0" hidden="1" customWidth="1"/>
    <col min="7151" max="7151" width="6.625" style="0" customWidth="1"/>
    <col min="7152" max="7152" width="5.00390625" style="0" customWidth="1"/>
    <col min="7153" max="7153" width="23.375" style="0" customWidth="1"/>
    <col min="7154" max="7154" width="8.875" style="0" customWidth="1"/>
    <col min="7155" max="7155" width="13.75390625" style="0" customWidth="1"/>
    <col min="7156" max="7156" width="26.875" style="0" customWidth="1"/>
    <col min="7157" max="7159" width="9.00390625" style="0" hidden="1" customWidth="1"/>
    <col min="7407" max="7407" width="6.625" style="0" customWidth="1"/>
    <col min="7408" max="7408" width="5.00390625" style="0" customWidth="1"/>
    <col min="7409" max="7409" width="23.375" style="0" customWidth="1"/>
    <col min="7410" max="7410" width="8.875" style="0" customWidth="1"/>
    <col min="7411" max="7411" width="13.75390625" style="0" customWidth="1"/>
    <col min="7412" max="7412" width="26.875" style="0" customWidth="1"/>
    <col min="7413" max="7415" width="9.00390625" style="0" hidden="1" customWidth="1"/>
    <col min="7663" max="7663" width="6.625" style="0" customWidth="1"/>
    <col min="7664" max="7664" width="5.00390625" style="0" customWidth="1"/>
    <col min="7665" max="7665" width="23.375" style="0" customWidth="1"/>
    <col min="7666" max="7666" width="8.875" style="0" customWidth="1"/>
    <col min="7667" max="7667" width="13.75390625" style="0" customWidth="1"/>
    <col min="7668" max="7668" width="26.875" style="0" customWidth="1"/>
    <col min="7669" max="7671" width="9.00390625" style="0" hidden="1" customWidth="1"/>
    <col min="7919" max="7919" width="6.625" style="0" customWidth="1"/>
    <col min="7920" max="7920" width="5.00390625" style="0" customWidth="1"/>
    <col min="7921" max="7921" width="23.375" style="0" customWidth="1"/>
    <col min="7922" max="7922" width="8.875" style="0" customWidth="1"/>
    <col min="7923" max="7923" width="13.75390625" style="0" customWidth="1"/>
    <col min="7924" max="7924" width="26.875" style="0" customWidth="1"/>
    <col min="7925" max="7927" width="9.00390625" style="0" hidden="1" customWidth="1"/>
    <col min="8175" max="8175" width="6.625" style="0" customWidth="1"/>
    <col min="8176" max="8176" width="5.00390625" style="0" customWidth="1"/>
    <col min="8177" max="8177" width="23.375" style="0" customWidth="1"/>
    <col min="8178" max="8178" width="8.875" style="0" customWidth="1"/>
    <col min="8179" max="8179" width="13.75390625" style="0" customWidth="1"/>
    <col min="8180" max="8180" width="26.875" style="0" customWidth="1"/>
    <col min="8181" max="8183" width="9.00390625" style="0" hidden="1" customWidth="1"/>
    <col min="8431" max="8431" width="6.625" style="0" customWidth="1"/>
    <col min="8432" max="8432" width="5.00390625" style="0" customWidth="1"/>
    <col min="8433" max="8433" width="23.375" style="0" customWidth="1"/>
    <col min="8434" max="8434" width="8.875" style="0" customWidth="1"/>
    <col min="8435" max="8435" width="13.75390625" style="0" customWidth="1"/>
    <col min="8436" max="8436" width="26.875" style="0" customWidth="1"/>
    <col min="8437" max="8439" width="9.00390625" style="0" hidden="1" customWidth="1"/>
    <col min="8687" max="8687" width="6.625" style="0" customWidth="1"/>
    <col min="8688" max="8688" width="5.00390625" style="0" customWidth="1"/>
    <col min="8689" max="8689" width="23.375" style="0" customWidth="1"/>
    <col min="8690" max="8690" width="8.875" style="0" customWidth="1"/>
    <col min="8691" max="8691" width="13.75390625" style="0" customWidth="1"/>
    <col min="8692" max="8692" width="26.875" style="0" customWidth="1"/>
    <col min="8693" max="8695" width="9.00390625" style="0" hidden="1" customWidth="1"/>
    <col min="8943" max="8943" width="6.625" style="0" customWidth="1"/>
    <col min="8944" max="8944" width="5.00390625" style="0" customWidth="1"/>
    <col min="8945" max="8945" width="23.375" style="0" customWidth="1"/>
    <col min="8946" max="8946" width="8.875" style="0" customWidth="1"/>
    <col min="8947" max="8947" width="13.75390625" style="0" customWidth="1"/>
    <col min="8948" max="8948" width="26.875" style="0" customWidth="1"/>
    <col min="8949" max="8951" width="9.00390625" style="0" hidden="1" customWidth="1"/>
    <col min="9199" max="9199" width="6.625" style="0" customWidth="1"/>
    <col min="9200" max="9200" width="5.00390625" style="0" customWidth="1"/>
    <col min="9201" max="9201" width="23.375" style="0" customWidth="1"/>
    <col min="9202" max="9202" width="8.875" style="0" customWidth="1"/>
    <col min="9203" max="9203" width="13.75390625" style="0" customWidth="1"/>
    <col min="9204" max="9204" width="26.875" style="0" customWidth="1"/>
    <col min="9205" max="9207" width="9.00390625" style="0" hidden="1" customWidth="1"/>
    <col min="9455" max="9455" width="6.625" style="0" customWidth="1"/>
    <col min="9456" max="9456" width="5.00390625" style="0" customWidth="1"/>
    <col min="9457" max="9457" width="23.375" style="0" customWidth="1"/>
    <col min="9458" max="9458" width="8.875" style="0" customWidth="1"/>
    <col min="9459" max="9459" width="13.75390625" style="0" customWidth="1"/>
    <col min="9460" max="9460" width="26.875" style="0" customWidth="1"/>
    <col min="9461" max="9463" width="9.00390625" style="0" hidden="1" customWidth="1"/>
    <col min="9711" max="9711" width="6.625" style="0" customWidth="1"/>
    <col min="9712" max="9712" width="5.00390625" style="0" customWidth="1"/>
    <col min="9713" max="9713" width="23.375" style="0" customWidth="1"/>
    <col min="9714" max="9714" width="8.875" style="0" customWidth="1"/>
    <col min="9715" max="9715" width="13.75390625" style="0" customWidth="1"/>
    <col min="9716" max="9716" width="26.875" style="0" customWidth="1"/>
    <col min="9717" max="9719" width="9.00390625" style="0" hidden="1" customWidth="1"/>
    <col min="9967" max="9967" width="6.625" style="0" customWidth="1"/>
    <col min="9968" max="9968" width="5.00390625" style="0" customWidth="1"/>
    <col min="9969" max="9969" width="23.375" style="0" customWidth="1"/>
    <col min="9970" max="9970" width="8.875" style="0" customWidth="1"/>
    <col min="9971" max="9971" width="13.75390625" style="0" customWidth="1"/>
    <col min="9972" max="9972" width="26.875" style="0" customWidth="1"/>
    <col min="9973" max="9975" width="9.00390625" style="0" hidden="1" customWidth="1"/>
    <col min="10223" max="10223" width="6.625" style="0" customWidth="1"/>
    <col min="10224" max="10224" width="5.00390625" style="0" customWidth="1"/>
    <col min="10225" max="10225" width="23.375" style="0" customWidth="1"/>
    <col min="10226" max="10226" width="8.875" style="0" customWidth="1"/>
    <col min="10227" max="10227" width="13.75390625" style="0" customWidth="1"/>
    <col min="10228" max="10228" width="26.875" style="0" customWidth="1"/>
    <col min="10229" max="10231" width="9.00390625" style="0" hidden="1" customWidth="1"/>
    <col min="10479" max="10479" width="6.625" style="0" customWidth="1"/>
    <col min="10480" max="10480" width="5.00390625" style="0" customWidth="1"/>
    <col min="10481" max="10481" width="23.375" style="0" customWidth="1"/>
    <col min="10482" max="10482" width="8.875" style="0" customWidth="1"/>
    <col min="10483" max="10483" width="13.75390625" style="0" customWidth="1"/>
    <col min="10484" max="10484" width="26.875" style="0" customWidth="1"/>
    <col min="10485" max="10487" width="9.00390625" style="0" hidden="1" customWidth="1"/>
    <col min="10735" max="10735" width="6.625" style="0" customWidth="1"/>
    <col min="10736" max="10736" width="5.00390625" style="0" customWidth="1"/>
    <col min="10737" max="10737" width="23.375" style="0" customWidth="1"/>
    <col min="10738" max="10738" width="8.875" style="0" customWidth="1"/>
    <col min="10739" max="10739" width="13.75390625" style="0" customWidth="1"/>
    <col min="10740" max="10740" width="26.875" style="0" customWidth="1"/>
    <col min="10741" max="10743" width="9.00390625" style="0" hidden="1" customWidth="1"/>
    <col min="10991" max="10991" width="6.625" style="0" customWidth="1"/>
    <col min="10992" max="10992" width="5.00390625" style="0" customWidth="1"/>
    <col min="10993" max="10993" width="23.375" style="0" customWidth="1"/>
    <col min="10994" max="10994" width="8.875" style="0" customWidth="1"/>
    <col min="10995" max="10995" width="13.75390625" style="0" customWidth="1"/>
    <col min="10996" max="10996" width="26.875" style="0" customWidth="1"/>
    <col min="10997" max="10999" width="9.00390625" style="0" hidden="1" customWidth="1"/>
    <col min="11247" max="11247" width="6.625" style="0" customWidth="1"/>
    <col min="11248" max="11248" width="5.00390625" style="0" customWidth="1"/>
    <col min="11249" max="11249" width="23.375" style="0" customWidth="1"/>
    <col min="11250" max="11250" width="8.875" style="0" customWidth="1"/>
    <col min="11251" max="11251" width="13.75390625" style="0" customWidth="1"/>
    <col min="11252" max="11252" width="26.875" style="0" customWidth="1"/>
    <col min="11253" max="11255" width="9.00390625" style="0" hidden="1" customWidth="1"/>
    <col min="11503" max="11503" width="6.625" style="0" customWidth="1"/>
    <col min="11504" max="11504" width="5.00390625" style="0" customWidth="1"/>
    <col min="11505" max="11505" width="23.375" style="0" customWidth="1"/>
    <col min="11506" max="11506" width="8.875" style="0" customWidth="1"/>
    <col min="11507" max="11507" width="13.75390625" style="0" customWidth="1"/>
    <col min="11508" max="11508" width="26.875" style="0" customWidth="1"/>
    <col min="11509" max="11511" width="9.00390625" style="0" hidden="1" customWidth="1"/>
    <col min="11759" max="11759" width="6.625" style="0" customWidth="1"/>
    <col min="11760" max="11760" width="5.00390625" style="0" customWidth="1"/>
    <col min="11761" max="11761" width="23.375" style="0" customWidth="1"/>
    <col min="11762" max="11762" width="8.875" style="0" customWidth="1"/>
    <col min="11763" max="11763" width="13.75390625" style="0" customWidth="1"/>
    <col min="11764" max="11764" width="26.875" style="0" customWidth="1"/>
    <col min="11765" max="11767" width="9.00390625" style="0" hidden="1" customWidth="1"/>
    <col min="12015" max="12015" width="6.625" style="0" customWidth="1"/>
    <col min="12016" max="12016" width="5.00390625" style="0" customWidth="1"/>
    <col min="12017" max="12017" width="23.375" style="0" customWidth="1"/>
    <col min="12018" max="12018" width="8.875" style="0" customWidth="1"/>
    <col min="12019" max="12019" width="13.75390625" style="0" customWidth="1"/>
    <col min="12020" max="12020" width="26.875" style="0" customWidth="1"/>
    <col min="12021" max="12023" width="9.00390625" style="0" hidden="1" customWidth="1"/>
    <col min="12271" max="12271" width="6.625" style="0" customWidth="1"/>
    <col min="12272" max="12272" width="5.00390625" style="0" customWidth="1"/>
    <col min="12273" max="12273" width="23.375" style="0" customWidth="1"/>
    <col min="12274" max="12274" width="8.875" style="0" customWidth="1"/>
    <col min="12275" max="12275" width="13.75390625" style="0" customWidth="1"/>
    <col min="12276" max="12276" width="26.875" style="0" customWidth="1"/>
    <col min="12277" max="12279" width="9.00390625" style="0" hidden="1" customWidth="1"/>
    <col min="12527" max="12527" width="6.625" style="0" customWidth="1"/>
    <col min="12528" max="12528" width="5.00390625" style="0" customWidth="1"/>
    <col min="12529" max="12529" width="23.375" style="0" customWidth="1"/>
    <col min="12530" max="12530" width="8.875" style="0" customWidth="1"/>
    <col min="12531" max="12531" width="13.75390625" style="0" customWidth="1"/>
    <col min="12532" max="12532" width="26.875" style="0" customWidth="1"/>
    <col min="12533" max="12535" width="9.00390625" style="0" hidden="1" customWidth="1"/>
    <col min="12783" max="12783" width="6.625" style="0" customWidth="1"/>
    <col min="12784" max="12784" width="5.00390625" style="0" customWidth="1"/>
    <col min="12785" max="12785" width="23.375" style="0" customWidth="1"/>
    <col min="12786" max="12786" width="8.875" style="0" customWidth="1"/>
    <col min="12787" max="12787" width="13.75390625" style="0" customWidth="1"/>
    <col min="12788" max="12788" width="26.875" style="0" customWidth="1"/>
    <col min="12789" max="12791" width="9.00390625" style="0" hidden="1" customWidth="1"/>
    <col min="13039" max="13039" width="6.625" style="0" customWidth="1"/>
    <col min="13040" max="13040" width="5.00390625" style="0" customWidth="1"/>
    <col min="13041" max="13041" width="23.375" style="0" customWidth="1"/>
    <col min="13042" max="13042" width="8.875" style="0" customWidth="1"/>
    <col min="13043" max="13043" width="13.75390625" style="0" customWidth="1"/>
    <col min="13044" max="13044" width="26.875" style="0" customWidth="1"/>
    <col min="13045" max="13047" width="9.00390625" style="0" hidden="1" customWidth="1"/>
    <col min="13295" max="13295" width="6.625" style="0" customWidth="1"/>
    <col min="13296" max="13296" width="5.00390625" style="0" customWidth="1"/>
    <col min="13297" max="13297" width="23.375" style="0" customWidth="1"/>
    <col min="13298" max="13298" width="8.875" style="0" customWidth="1"/>
    <col min="13299" max="13299" width="13.75390625" style="0" customWidth="1"/>
    <col min="13300" max="13300" width="26.875" style="0" customWidth="1"/>
    <col min="13301" max="13303" width="9.00390625" style="0" hidden="1" customWidth="1"/>
    <col min="13551" max="13551" width="6.625" style="0" customWidth="1"/>
    <col min="13552" max="13552" width="5.00390625" style="0" customWidth="1"/>
    <col min="13553" max="13553" width="23.375" style="0" customWidth="1"/>
    <col min="13554" max="13554" width="8.875" style="0" customWidth="1"/>
    <col min="13555" max="13555" width="13.75390625" style="0" customWidth="1"/>
    <col min="13556" max="13556" width="26.875" style="0" customWidth="1"/>
    <col min="13557" max="13559" width="9.00390625" style="0" hidden="1" customWidth="1"/>
    <col min="13807" max="13807" width="6.625" style="0" customWidth="1"/>
    <col min="13808" max="13808" width="5.00390625" style="0" customWidth="1"/>
    <col min="13809" max="13809" width="23.375" style="0" customWidth="1"/>
    <col min="13810" max="13810" width="8.875" style="0" customWidth="1"/>
    <col min="13811" max="13811" width="13.75390625" style="0" customWidth="1"/>
    <col min="13812" max="13812" width="26.875" style="0" customWidth="1"/>
    <col min="13813" max="13815" width="9.00390625" style="0" hidden="1" customWidth="1"/>
    <col min="14063" max="14063" width="6.625" style="0" customWidth="1"/>
    <col min="14064" max="14064" width="5.00390625" style="0" customWidth="1"/>
    <col min="14065" max="14065" width="23.375" style="0" customWidth="1"/>
    <col min="14066" max="14066" width="8.875" style="0" customWidth="1"/>
    <col min="14067" max="14067" width="13.75390625" style="0" customWidth="1"/>
    <col min="14068" max="14068" width="26.875" style="0" customWidth="1"/>
    <col min="14069" max="14071" width="9.00390625" style="0" hidden="1" customWidth="1"/>
    <col min="14319" max="14319" width="6.625" style="0" customWidth="1"/>
    <col min="14320" max="14320" width="5.00390625" style="0" customWidth="1"/>
    <col min="14321" max="14321" width="23.375" style="0" customWidth="1"/>
    <col min="14322" max="14322" width="8.875" style="0" customWidth="1"/>
    <col min="14323" max="14323" width="13.75390625" style="0" customWidth="1"/>
    <col min="14324" max="14324" width="26.875" style="0" customWidth="1"/>
    <col min="14325" max="14327" width="9.00390625" style="0" hidden="1" customWidth="1"/>
    <col min="14575" max="14575" width="6.625" style="0" customWidth="1"/>
    <col min="14576" max="14576" width="5.00390625" style="0" customWidth="1"/>
    <col min="14577" max="14577" width="23.375" style="0" customWidth="1"/>
    <col min="14578" max="14578" width="8.875" style="0" customWidth="1"/>
    <col min="14579" max="14579" width="13.75390625" style="0" customWidth="1"/>
    <col min="14580" max="14580" width="26.875" style="0" customWidth="1"/>
    <col min="14581" max="14583" width="9.00390625" style="0" hidden="1" customWidth="1"/>
    <col min="14831" max="14831" width="6.625" style="0" customWidth="1"/>
    <col min="14832" max="14832" width="5.00390625" style="0" customWidth="1"/>
    <col min="14833" max="14833" width="23.375" style="0" customWidth="1"/>
    <col min="14834" max="14834" width="8.875" style="0" customWidth="1"/>
    <col min="14835" max="14835" width="13.75390625" style="0" customWidth="1"/>
    <col min="14836" max="14836" width="26.875" style="0" customWidth="1"/>
    <col min="14837" max="14839" width="9.00390625" style="0" hidden="1" customWidth="1"/>
    <col min="15087" max="15087" width="6.625" style="0" customWidth="1"/>
    <col min="15088" max="15088" width="5.00390625" style="0" customWidth="1"/>
    <col min="15089" max="15089" width="23.375" style="0" customWidth="1"/>
    <col min="15090" max="15090" width="8.875" style="0" customWidth="1"/>
    <col min="15091" max="15091" width="13.75390625" style="0" customWidth="1"/>
    <col min="15092" max="15092" width="26.875" style="0" customWidth="1"/>
    <col min="15093" max="15095" width="9.00390625" style="0" hidden="1" customWidth="1"/>
    <col min="15343" max="15343" width="6.625" style="0" customWidth="1"/>
    <col min="15344" max="15344" width="5.00390625" style="0" customWidth="1"/>
    <col min="15345" max="15345" width="23.375" style="0" customWidth="1"/>
    <col min="15346" max="15346" width="8.875" style="0" customWidth="1"/>
    <col min="15347" max="15347" width="13.75390625" style="0" customWidth="1"/>
    <col min="15348" max="15348" width="26.875" style="0" customWidth="1"/>
    <col min="15349" max="15351" width="9.00390625" style="0" hidden="1" customWidth="1"/>
    <col min="15599" max="15599" width="6.625" style="0" customWidth="1"/>
    <col min="15600" max="15600" width="5.00390625" style="0" customWidth="1"/>
    <col min="15601" max="15601" width="23.375" style="0" customWidth="1"/>
    <col min="15602" max="15602" width="8.875" style="0" customWidth="1"/>
    <col min="15603" max="15603" width="13.75390625" style="0" customWidth="1"/>
    <col min="15604" max="15604" width="26.875" style="0" customWidth="1"/>
    <col min="15605" max="15607" width="9.00390625" style="0" hidden="1" customWidth="1"/>
    <col min="15855" max="15855" width="6.625" style="0" customWidth="1"/>
    <col min="15856" max="15856" width="5.00390625" style="0" customWidth="1"/>
    <col min="15857" max="15857" width="23.375" style="0" customWidth="1"/>
    <col min="15858" max="15858" width="8.875" style="0" customWidth="1"/>
    <col min="15859" max="15859" width="13.75390625" style="0" customWidth="1"/>
    <col min="15860" max="15860" width="26.875" style="0" customWidth="1"/>
    <col min="15861" max="15863" width="9.00390625" style="0" hidden="1" customWidth="1"/>
    <col min="16111" max="16111" width="6.625" style="0" customWidth="1"/>
    <col min="16112" max="16112" width="5.00390625" style="0" customWidth="1"/>
    <col min="16113" max="16113" width="23.375" style="0" customWidth="1"/>
    <col min="16114" max="16114" width="8.875" style="0" customWidth="1"/>
    <col min="16115" max="16115" width="13.75390625" style="0" customWidth="1"/>
    <col min="16116" max="16116" width="26.875" style="0" customWidth="1"/>
    <col min="16117" max="16119" width="9.00390625" style="0" hidden="1" customWidth="1"/>
  </cols>
  <sheetData>
    <row r="1" spans="1:7" ht="15">
      <c r="A1" s="215"/>
      <c r="B1" s="216"/>
      <c r="C1" s="215"/>
      <c r="D1" s="215"/>
      <c r="E1" s="215"/>
      <c r="F1" s="216"/>
      <c r="G1" s="215"/>
    </row>
    <row r="2" spans="1:7" ht="15">
      <c r="A2" s="215"/>
      <c r="B2" s="216"/>
      <c r="C2" s="215"/>
      <c r="D2" s="217"/>
      <c r="E2" s="1902" t="s">
        <v>40</v>
      </c>
      <c r="F2" s="1902"/>
      <c r="G2" s="215"/>
    </row>
    <row r="3" spans="1:7" ht="15">
      <c r="A3" s="215"/>
      <c r="B3" s="216"/>
      <c r="C3" s="215"/>
      <c r="D3" s="218"/>
      <c r="E3" s="1902" t="s">
        <v>41</v>
      </c>
      <c r="F3" s="1902"/>
      <c r="G3" s="215"/>
    </row>
    <row r="4" spans="1:7" ht="15">
      <c r="A4" s="215"/>
      <c r="B4" s="216"/>
      <c r="C4" s="215"/>
      <c r="D4" s="218"/>
      <c r="E4" s="1902" t="s">
        <v>178</v>
      </c>
      <c r="F4" s="1902"/>
      <c r="G4" s="215"/>
    </row>
    <row r="5" spans="1:7" ht="15">
      <c r="A5" s="215"/>
      <c r="B5" s="216"/>
      <c r="C5" s="215"/>
      <c r="D5" s="217"/>
      <c r="E5" s="1902" t="s">
        <v>179</v>
      </c>
      <c r="F5" s="1902"/>
      <c r="G5" s="215"/>
    </row>
    <row r="6" spans="1:7" ht="15">
      <c r="A6" s="215"/>
      <c r="B6" s="216"/>
      <c r="C6" s="215"/>
      <c r="D6" s="217"/>
      <c r="E6" s="217"/>
      <c r="F6" s="217"/>
      <c r="G6" s="215"/>
    </row>
    <row r="7" spans="1:7" ht="15">
      <c r="A7" s="215"/>
      <c r="B7" s="216"/>
      <c r="C7" s="215"/>
      <c r="D7" s="217"/>
      <c r="E7" s="217"/>
      <c r="F7" s="216"/>
      <c r="G7" s="215"/>
    </row>
    <row r="8" spans="1:7" ht="15">
      <c r="A8" s="215"/>
      <c r="B8" s="2208" t="s">
        <v>180</v>
      </c>
      <c r="C8" s="2208"/>
      <c r="D8" s="2208"/>
      <c r="E8" s="2208"/>
      <c r="F8" s="2208"/>
      <c r="G8" s="215"/>
    </row>
    <row r="9" spans="1:7" ht="15">
      <c r="A9" s="215"/>
      <c r="B9" s="2208" t="s">
        <v>690</v>
      </c>
      <c r="C9" s="2208"/>
      <c r="D9" s="2208"/>
      <c r="E9" s="2208"/>
      <c r="F9" s="2208"/>
      <c r="G9" s="215"/>
    </row>
    <row r="10" spans="1:7" ht="15">
      <c r="A10" s="215"/>
      <c r="B10" s="219"/>
      <c r="C10" s="2197" t="s">
        <v>181</v>
      </c>
      <c r="D10" s="2197"/>
      <c r="E10" s="2197"/>
      <c r="F10" s="2197"/>
      <c r="G10" s="215"/>
    </row>
    <row r="11" spans="1:7" ht="15.75" thickBot="1">
      <c r="A11" s="215"/>
      <c r="B11" s="2197"/>
      <c r="C11" s="2197"/>
      <c r="D11" s="2197"/>
      <c r="E11" s="2197"/>
      <c r="F11" s="2197"/>
      <c r="G11" s="215"/>
    </row>
    <row r="12" spans="1:7" ht="22.5" customHeight="1">
      <c r="A12" s="215"/>
      <c r="B12" s="2198" t="s">
        <v>182</v>
      </c>
      <c r="C12" s="2200" t="s">
        <v>6</v>
      </c>
      <c r="D12" s="2202" t="s">
        <v>183</v>
      </c>
      <c r="E12" s="2204" t="s">
        <v>146</v>
      </c>
      <c r="F12" s="2206" t="s">
        <v>49</v>
      </c>
      <c r="G12" s="215"/>
    </row>
    <row r="13" spans="1:7" ht="18.75" customHeight="1" thickBot="1">
      <c r="A13" s="215"/>
      <c r="B13" s="2199"/>
      <c r="C13" s="2201"/>
      <c r="D13" s="2203"/>
      <c r="E13" s="2205"/>
      <c r="F13" s="2207"/>
      <c r="G13" s="215"/>
    </row>
    <row r="14" spans="1:7" ht="17.45" customHeight="1">
      <c r="A14" s="215"/>
      <c r="B14" s="546">
        <v>1</v>
      </c>
      <c r="C14" s="547" t="s">
        <v>76</v>
      </c>
      <c r="D14" s="544">
        <v>1</v>
      </c>
      <c r="E14" s="830">
        <v>5.76269</v>
      </c>
      <c r="F14" s="224" t="s">
        <v>185</v>
      </c>
      <c r="G14" s="215"/>
    </row>
    <row r="15" spans="1:7" ht="17.45" customHeight="1">
      <c r="A15" s="215"/>
      <c r="B15" s="220">
        <f>B14+1</f>
        <v>2</v>
      </c>
      <c r="C15" s="223" t="s">
        <v>77</v>
      </c>
      <c r="D15" s="544">
        <v>11</v>
      </c>
      <c r="E15" s="830">
        <v>14.509</v>
      </c>
      <c r="F15" s="222" t="s">
        <v>689</v>
      </c>
      <c r="G15" s="215"/>
    </row>
    <row r="16" spans="1:7" ht="17.45" customHeight="1">
      <c r="A16" s="215"/>
      <c r="B16" s="220">
        <f aca="true" t="shared" si="0" ref="B16:B25">B15+1</f>
        <v>3</v>
      </c>
      <c r="C16" s="221" t="s">
        <v>77</v>
      </c>
      <c r="D16" s="544">
        <v>2</v>
      </c>
      <c r="E16" s="830">
        <v>12.308</v>
      </c>
      <c r="F16" s="222" t="s">
        <v>683</v>
      </c>
      <c r="G16" s="215"/>
    </row>
    <row r="17" spans="1:7" ht="17.45" customHeight="1">
      <c r="A17" s="215"/>
      <c r="B17" s="220">
        <f t="shared" si="0"/>
        <v>4</v>
      </c>
      <c r="C17" s="223" t="s">
        <v>186</v>
      </c>
      <c r="D17" s="544">
        <v>2</v>
      </c>
      <c r="E17" s="830">
        <v>11.52538</v>
      </c>
      <c r="F17" s="222" t="s">
        <v>185</v>
      </c>
      <c r="G17" s="215"/>
    </row>
    <row r="18" spans="1:7" ht="17.45" customHeight="1">
      <c r="A18" s="215"/>
      <c r="B18" s="220">
        <f t="shared" si="0"/>
        <v>5</v>
      </c>
      <c r="C18" s="223" t="s">
        <v>530</v>
      </c>
      <c r="D18" s="544">
        <v>3</v>
      </c>
      <c r="E18" s="830">
        <v>18.462</v>
      </c>
      <c r="F18" s="222" t="s">
        <v>683</v>
      </c>
      <c r="G18" s="215"/>
    </row>
    <row r="19" spans="1:7" ht="17.45" customHeight="1">
      <c r="A19" s="215"/>
      <c r="B19" s="220">
        <f t="shared" si="0"/>
        <v>6</v>
      </c>
      <c r="C19" s="221" t="s">
        <v>160</v>
      </c>
      <c r="D19" s="544">
        <v>3</v>
      </c>
      <c r="E19" s="830">
        <v>18.462</v>
      </c>
      <c r="F19" s="222" t="s">
        <v>683</v>
      </c>
      <c r="G19" s="215"/>
    </row>
    <row r="20" spans="1:7" ht="17.45" customHeight="1">
      <c r="A20" s="215"/>
      <c r="B20" s="220">
        <f t="shared" si="0"/>
        <v>7</v>
      </c>
      <c r="C20" s="223" t="s">
        <v>187</v>
      </c>
      <c r="D20" s="544">
        <v>2</v>
      </c>
      <c r="E20" s="830">
        <v>12.308</v>
      </c>
      <c r="F20" s="222" t="s">
        <v>683</v>
      </c>
      <c r="G20" s="215"/>
    </row>
    <row r="21" spans="1:7" ht="17.45" customHeight="1">
      <c r="A21" s="215"/>
      <c r="B21" s="220">
        <f t="shared" si="0"/>
        <v>8</v>
      </c>
      <c r="C21" s="223" t="s">
        <v>262</v>
      </c>
      <c r="D21" s="544">
        <v>1</v>
      </c>
      <c r="E21" s="830">
        <v>5.27</v>
      </c>
      <c r="F21" s="222" t="s">
        <v>579</v>
      </c>
      <c r="G21" s="215"/>
    </row>
    <row r="22" spans="1:7" ht="17.45" customHeight="1">
      <c r="A22" s="215"/>
      <c r="B22" s="220">
        <f t="shared" si="0"/>
        <v>9</v>
      </c>
      <c r="C22" s="221" t="s">
        <v>107</v>
      </c>
      <c r="D22" s="544">
        <v>2</v>
      </c>
      <c r="E22" s="830">
        <v>22.848</v>
      </c>
      <c r="F22" s="222" t="s">
        <v>687</v>
      </c>
      <c r="G22" s="215"/>
    </row>
    <row r="23" spans="1:7" ht="17.45" customHeight="1">
      <c r="A23" s="215"/>
      <c r="B23" s="220">
        <f t="shared" si="0"/>
        <v>10</v>
      </c>
      <c r="C23" s="221" t="s">
        <v>107</v>
      </c>
      <c r="D23" s="544">
        <v>2</v>
      </c>
      <c r="E23" s="830">
        <v>11.52538</v>
      </c>
      <c r="F23" s="224" t="s">
        <v>688</v>
      </c>
      <c r="G23" s="215"/>
    </row>
    <row r="24" spans="1:7" ht="17.45" customHeight="1">
      <c r="A24" s="215"/>
      <c r="B24" s="220">
        <f t="shared" si="0"/>
        <v>11</v>
      </c>
      <c r="C24" s="221" t="s">
        <v>449</v>
      </c>
      <c r="D24" s="544">
        <v>12</v>
      </c>
      <c r="E24" s="830">
        <v>73.848</v>
      </c>
      <c r="F24" s="222" t="s">
        <v>683</v>
      </c>
      <c r="G24" s="215"/>
    </row>
    <row r="25" spans="1:7" ht="17.45" customHeight="1" thickBot="1">
      <c r="A25" s="215"/>
      <c r="B25" s="220">
        <f t="shared" si="0"/>
        <v>12</v>
      </c>
      <c r="C25" s="223" t="s">
        <v>461</v>
      </c>
      <c r="D25" s="544">
        <v>12</v>
      </c>
      <c r="E25" s="830">
        <v>73.848</v>
      </c>
      <c r="F25" s="222" t="s">
        <v>683</v>
      </c>
      <c r="G25" s="215"/>
    </row>
    <row r="26" spans="1:7" ht="18.95" customHeight="1" thickBot="1">
      <c r="A26" s="215"/>
      <c r="B26" s="225"/>
      <c r="C26" s="226" t="s">
        <v>142</v>
      </c>
      <c r="D26" s="545">
        <f>SUM(D14:D25)</f>
        <v>53</v>
      </c>
      <c r="E26" s="834">
        <f>SUM(E14:E25)</f>
        <v>280.67645000000005</v>
      </c>
      <c r="F26" s="227"/>
      <c r="G26" s="215"/>
    </row>
    <row r="27" spans="1:7" ht="18.95" customHeight="1">
      <c r="A27" s="215"/>
      <c r="B27" s="228"/>
      <c r="C27" s="229"/>
      <c r="D27" s="230"/>
      <c r="E27" s="231"/>
      <c r="F27" s="228"/>
      <c r="G27" s="215"/>
    </row>
    <row r="28" spans="1:7" ht="18.95" customHeight="1">
      <c r="A28" s="215"/>
      <c r="B28" s="216"/>
      <c r="C28" s="215" t="s">
        <v>95</v>
      </c>
      <c r="D28" s="215"/>
      <c r="E28" s="217"/>
      <c r="F28" s="218" t="s">
        <v>143</v>
      </c>
      <c r="G28" s="215"/>
    </row>
  </sheetData>
  <autoFilter ref="B12:F26"/>
  <mergeCells count="13">
    <mergeCell ref="B9:F9"/>
    <mergeCell ref="E2:F2"/>
    <mergeCell ref="E3:F3"/>
    <mergeCell ref="E4:F4"/>
    <mergeCell ref="E5:F5"/>
    <mergeCell ref="B8:F8"/>
    <mergeCell ref="C10:F10"/>
    <mergeCell ref="B11:F11"/>
    <mergeCell ref="B12:B13"/>
    <mergeCell ref="C12:C13"/>
    <mergeCell ref="D12:D13"/>
    <mergeCell ref="E12:E13"/>
    <mergeCell ref="F12:F13"/>
  </mergeCells>
  <printOptions/>
  <pageMargins left="0.5118110236220472" right="0.1968503937007874" top="0.5905511811023623" bottom="0.5905511811023623" header="0.31496062992125984" footer="0.31496062992125984"/>
  <pageSetup fitToHeight="0" fitToWidth="0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B2:K31"/>
  <sheetViews>
    <sheetView workbookViewId="0" topLeftCell="A1">
      <selection activeCell="M15" sqref="M15"/>
    </sheetView>
  </sheetViews>
  <sheetFormatPr defaultColWidth="9.00390625" defaultRowHeight="12.75"/>
  <cols>
    <col min="1" max="1" width="9.125" style="0" customWidth="1"/>
    <col min="2" max="2" width="4.375" style="0" customWidth="1"/>
    <col min="3" max="3" width="26.375" style="0" customWidth="1"/>
    <col min="4" max="4" width="9.625" style="0" bestFit="1" customWidth="1"/>
    <col min="5" max="5" width="15.125" style="0" customWidth="1"/>
    <col min="6" max="6" width="18.125" style="0" customWidth="1"/>
    <col min="7" max="9" width="9.125" style="0" hidden="1" customWidth="1"/>
    <col min="10" max="10" width="22.25390625" style="0" hidden="1" customWidth="1"/>
    <col min="255" max="255" width="19.75390625" style="0" customWidth="1"/>
    <col min="256" max="256" width="4.375" style="0" customWidth="1"/>
    <col min="257" max="257" width="26.375" style="0" customWidth="1"/>
    <col min="258" max="258" width="9.625" style="0" bestFit="1" customWidth="1"/>
    <col min="260" max="260" width="15.125" style="0" customWidth="1"/>
    <col min="261" max="261" width="31.375" style="0" customWidth="1"/>
    <col min="262" max="265" width="9.125" style="0" customWidth="1"/>
    <col min="266" max="266" width="22.25390625" style="0" customWidth="1"/>
    <col min="511" max="511" width="19.75390625" style="0" customWidth="1"/>
    <col min="512" max="512" width="4.375" style="0" customWidth="1"/>
    <col min="513" max="513" width="26.375" style="0" customWidth="1"/>
    <col min="514" max="514" width="9.625" style="0" bestFit="1" customWidth="1"/>
    <col min="516" max="516" width="15.125" style="0" customWidth="1"/>
    <col min="517" max="517" width="31.375" style="0" customWidth="1"/>
    <col min="518" max="521" width="9.125" style="0" customWidth="1"/>
    <col min="522" max="522" width="22.25390625" style="0" customWidth="1"/>
    <col min="767" max="767" width="19.75390625" style="0" customWidth="1"/>
    <col min="768" max="768" width="4.375" style="0" customWidth="1"/>
    <col min="769" max="769" width="26.375" style="0" customWidth="1"/>
    <col min="770" max="770" width="9.625" style="0" bestFit="1" customWidth="1"/>
    <col min="772" max="772" width="15.125" style="0" customWidth="1"/>
    <col min="773" max="773" width="31.375" style="0" customWidth="1"/>
    <col min="774" max="777" width="9.125" style="0" customWidth="1"/>
    <col min="778" max="778" width="22.25390625" style="0" customWidth="1"/>
    <col min="1023" max="1023" width="19.75390625" style="0" customWidth="1"/>
    <col min="1024" max="1024" width="4.375" style="0" customWidth="1"/>
    <col min="1025" max="1025" width="26.375" style="0" customWidth="1"/>
    <col min="1026" max="1026" width="9.625" style="0" bestFit="1" customWidth="1"/>
    <col min="1028" max="1028" width="15.125" style="0" customWidth="1"/>
    <col min="1029" max="1029" width="31.375" style="0" customWidth="1"/>
    <col min="1030" max="1033" width="9.125" style="0" customWidth="1"/>
    <col min="1034" max="1034" width="22.25390625" style="0" customWidth="1"/>
    <col min="1279" max="1279" width="19.75390625" style="0" customWidth="1"/>
    <col min="1280" max="1280" width="4.375" style="0" customWidth="1"/>
    <col min="1281" max="1281" width="26.375" style="0" customWidth="1"/>
    <col min="1282" max="1282" width="9.625" style="0" bestFit="1" customWidth="1"/>
    <col min="1284" max="1284" width="15.125" style="0" customWidth="1"/>
    <col min="1285" max="1285" width="31.375" style="0" customWidth="1"/>
    <col min="1286" max="1289" width="9.125" style="0" customWidth="1"/>
    <col min="1290" max="1290" width="22.25390625" style="0" customWidth="1"/>
    <col min="1535" max="1535" width="19.75390625" style="0" customWidth="1"/>
    <col min="1536" max="1536" width="4.375" style="0" customWidth="1"/>
    <col min="1537" max="1537" width="26.375" style="0" customWidth="1"/>
    <col min="1538" max="1538" width="9.625" style="0" bestFit="1" customWidth="1"/>
    <col min="1540" max="1540" width="15.125" style="0" customWidth="1"/>
    <col min="1541" max="1541" width="31.375" style="0" customWidth="1"/>
    <col min="1542" max="1545" width="9.125" style="0" customWidth="1"/>
    <col min="1546" max="1546" width="22.25390625" style="0" customWidth="1"/>
    <col min="1791" max="1791" width="19.75390625" style="0" customWidth="1"/>
    <col min="1792" max="1792" width="4.375" style="0" customWidth="1"/>
    <col min="1793" max="1793" width="26.375" style="0" customWidth="1"/>
    <col min="1794" max="1794" width="9.625" style="0" bestFit="1" customWidth="1"/>
    <col min="1796" max="1796" width="15.125" style="0" customWidth="1"/>
    <col min="1797" max="1797" width="31.375" style="0" customWidth="1"/>
    <col min="1798" max="1801" width="9.125" style="0" customWidth="1"/>
    <col min="1802" max="1802" width="22.25390625" style="0" customWidth="1"/>
    <col min="2047" max="2047" width="19.75390625" style="0" customWidth="1"/>
    <col min="2048" max="2048" width="4.375" style="0" customWidth="1"/>
    <col min="2049" max="2049" width="26.375" style="0" customWidth="1"/>
    <col min="2050" max="2050" width="9.625" style="0" bestFit="1" customWidth="1"/>
    <col min="2052" max="2052" width="15.125" style="0" customWidth="1"/>
    <col min="2053" max="2053" width="31.375" style="0" customWidth="1"/>
    <col min="2054" max="2057" width="9.125" style="0" customWidth="1"/>
    <col min="2058" max="2058" width="22.25390625" style="0" customWidth="1"/>
    <col min="2303" max="2303" width="19.75390625" style="0" customWidth="1"/>
    <col min="2304" max="2304" width="4.375" style="0" customWidth="1"/>
    <col min="2305" max="2305" width="26.375" style="0" customWidth="1"/>
    <col min="2306" max="2306" width="9.625" style="0" bestFit="1" customWidth="1"/>
    <col min="2308" max="2308" width="15.125" style="0" customWidth="1"/>
    <col min="2309" max="2309" width="31.375" style="0" customWidth="1"/>
    <col min="2310" max="2313" width="9.125" style="0" customWidth="1"/>
    <col min="2314" max="2314" width="22.25390625" style="0" customWidth="1"/>
    <col min="2559" max="2559" width="19.75390625" style="0" customWidth="1"/>
    <col min="2560" max="2560" width="4.375" style="0" customWidth="1"/>
    <col min="2561" max="2561" width="26.375" style="0" customWidth="1"/>
    <col min="2562" max="2562" width="9.625" style="0" bestFit="1" customWidth="1"/>
    <col min="2564" max="2564" width="15.125" style="0" customWidth="1"/>
    <col min="2565" max="2565" width="31.375" style="0" customWidth="1"/>
    <col min="2566" max="2569" width="9.125" style="0" customWidth="1"/>
    <col min="2570" max="2570" width="22.25390625" style="0" customWidth="1"/>
    <col min="2815" max="2815" width="19.75390625" style="0" customWidth="1"/>
    <col min="2816" max="2816" width="4.375" style="0" customWidth="1"/>
    <col min="2817" max="2817" width="26.375" style="0" customWidth="1"/>
    <col min="2818" max="2818" width="9.625" style="0" bestFit="1" customWidth="1"/>
    <col min="2820" max="2820" width="15.125" style="0" customWidth="1"/>
    <col min="2821" max="2821" width="31.375" style="0" customWidth="1"/>
    <col min="2822" max="2825" width="9.125" style="0" customWidth="1"/>
    <col min="2826" max="2826" width="22.25390625" style="0" customWidth="1"/>
    <col min="3071" max="3071" width="19.75390625" style="0" customWidth="1"/>
    <col min="3072" max="3072" width="4.375" style="0" customWidth="1"/>
    <col min="3073" max="3073" width="26.375" style="0" customWidth="1"/>
    <col min="3074" max="3074" width="9.625" style="0" bestFit="1" customWidth="1"/>
    <col min="3076" max="3076" width="15.125" style="0" customWidth="1"/>
    <col min="3077" max="3077" width="31.375" style="0" customWidth="1"/>
    <col min="3078" max="3081" width="9.125" style="0" customWidth="1"/>
    <col min="3082" max="3082" width="22.25390625" style="0" customWidth="1"/>
    <col min="3327" max="3327" width="19.75390625" style="0" customWidth="1"/>
    <col min="3328" max="3328" width="4.375" style="0" customWidth="1"/>
    <col min="3329" max="3329" width="26.375" style="0" customWidth="1"/>
    <col min="3330" max="3330" width="9.625" style="0" bestFit="1" customWidth="1"/>
    <col min="3332" max="3332" width="15.125" style="0" customWidth="1"/>
    <col min="3333" max="3333" width="31.375" style="0" customWidth="1"/>
    <col min="3334" max="3337" width="9.125" style="0" customWidth="1"/>
    <col min="3338" max="3338" width="22.25390625" style="0" customWidth="1"/>
    <col min="3583" max="3583" width="19.75390625" style="0" customWidth="1"/>
    <col min="3584" max="3584" width="4.375" style="0" customWidth="1"/>
    <col min="3585" max="3585" width="26.375" style="0" customWidth="1"/>
    <col min="3586" max="3586" width="9.625" style="0" bestFit="1" customWidth="1"/>
    <col min="3588" max="3588" width="15.125" style="0" customWidth="1"/>
    <col min="3589" max="3589" width="31.375" style="0" customWidth="1"/>
    <col min="3590" max="3593" width="9.125" style="0" customWidth="1"/>
    <col min="3594" max="3594" width="22.25390625" style="0" customWidth="1"/>
    <col min="3839" max="3839" width="19.75390625" style="0" customWidth="1"/>
    <col min="3840" max="3840" width="4.375" style="0" customWidth="1"/>
    <col min="3841" max="3841" width="26.375" style="0" customWidth="1"/>
    <col min="3842" max="3842" width="9.625" style="0" bestFit="1" customWidth="1"/>
    <col min="3844" max="3844" width="15.125" style="0" customWidth="1"/>
    <col min="3845" max="3845" width="31.375" style="0" customWidth="1"/>
    <col min="3846" max="3849" width="9.125" style="0" customWidth="1"/>
    <col min="3850" max="3850" width="22.25390625" style="0" customWidth="1"/>
    <col min="4095" max="4095" width="19.75390625" style="0" customWidth="1"/>
    <col min="4096" max="4096" width="4.375" style="0" customWidth="1"/>
    <col min="4097" max="4097" width="26.375" style="0" customWidth="1"/>
    <col min="4098" max="4098" width="9.625" style="0" bestFit="1" customWidth="1"/>
    <col min="4100" max="4100" width="15.125" style="0" customWidth="1"/>
    <col min="4101" max="4101" width="31.375" style="0" customWidth="1"/>
    <col min="4102" max="4105" width="9.125" style="0" customWidth="1"/>
    <col min="4106" max="4106" width="22.25390625" style="0" customWidth="1"/>
    <col min="4351" max="4351" width="19.75390625" style="0" customWidth="1"/>
    <col min="4352" max="4352" width="4.375" style="0" customWidth="1"/>
    <col min="4353" max="4353" width="26.375" style="0" customWidth="1"/>
    <col min="4354" max="4354" width="9.625" style="0" bestFit="1" customWidth="1"/>
    <col min="4356" max="4356" width="15.125" style="0" customWidth="1"/>
    <col min="4357" max="4357" width="31.375" style="0" customWidth="1"/>
    <col min="4358" max="4361" width="9.125" style="0" customWidth="1"/>
    <col min="4362" max="4362" width="22.25390625" style="0" customWidth="1"/>
    <col min="4607" max="4607" width="19.75390625" style="0" customWidth="1"/>
    <col min="4608" max="4608" width="4.375" style="0" customWidth="1"/>
    <col min="4609" max="4609" width="26.375" style="0" customWidth="1"/>
    <col min="4610" max="4610" width="9.625" style="0" bestFit="1" customWidth="1"/>
    <col min="4612" max="4612" width="15.125" style="0" customWidth="1"/>
    <col min="4613" max="4613" width="31.375" style="0" customWidth="1"/>
    <col min="4614" max="4617" width="9.125" style="0" customWidth="1"/>
    <col min="4618" max="4618" width="22.25390625" style="0" customWidth="1"/>
    <col min="4863" max="4863" width="19.75390625" style="0" customWidth="1"/>
    <col min="4864" max="4864" width="4.375" style="0" customWidth="1"/>
    <col min="4865" max="4865" width="26.375" style="0" customWidth="1"/>
    <col min="4866" max="4866" width="9.625" style="0" bestFit="1" customWidth="1"/>
    <col min="4868" max="4868" width="15.125" style="0" customWidth="1"/>
    <col min="4869" max="4869" width="31.375" style="0" customWidth="1"/>
    <col min="4870" max="4873" width="9.125" style="0" customWidth="1"/>
    <col min="4874" max="4874" width="22.25390625" style="0" customWidth="1"/>
    <col min="5119" max="5119" width="19.75390625" style="0" customWidth="1"/>
    <col min="5120" max="5120" width="4.375" style="0" customWidth="1"/>
    <col min="5121" max="5121" width="26.375" style="0" customWidth="1"/>
    <col min="5122" max="5122" width="9.625" style="0" bestFit="1" customWidth="1"/>
    <col min="5124" max="5124" width="15.125" style="0" customWidth="1"/>
    <col min="5125" max="5125" width="31.375" style="0" customWidth="1"/>
    <col min="5126" max="5129" width="9.125" style="0" customWidth="1"/>
    <col min="5130" max="5130" width="22.25390625" style="0" customWidth="1"/>
    <col min="5375" max="5375" width="19.75390625" style="0" customWidth="1"/>
    <col min="5376" max="5376" width="4.375" style="0" customWidth="1"/>
    <col min="5377" max="5377" width="26.375" style="0" customWidth="1"/>
    <col min="5378" max="5378" width="9.625" style="0" bestFit="1" customWidth="1"/>
    <col min="5380" max="5380" width="15.125" style="0" customWidth="1"/>
    <col min="5381" max="5381" width="31.375" style="0" customWidth="1"/>
    <col min="5382" max="5385" width="9.125" style="0" customWidth="1"/>
    <col min="5386" max="5386" width="22.25390625" style="0" customWidth="1"/>
    <col min="5631" max="5631" width="19.75390625" style="0" customWidth="1"/>
    <col min="5632" max="5632" width="4.375" style="0" customWidth="1"/>
    <col min="5633" max="5633" width="26.375" style="0" customWidth="1"/>
    <col min="5634" max="5634" width="9.625" style="0" bestFit="1" customWidth="1"/>
    <col min="5636" max="5636" width="15.125" style="0" customWidth="1"/>
    <col min="5637" max="5637" width="31.375" style="0" customWidth="1"/>
    <col min="5638" max="5641" width="9.125" style="0" customWidth="1"/>
    <col min="5642" max="5642" width="22.25390625" style="0" customWidth="1"/>
    <col min="5887" max="5887" width="19.75390625" style="0" customWidth="1"/>
    <col min="5888" max="5888" width="4.375" style="0" customWidth="1"/>
    <col min="5889" max="5889" width="26.375" style="0" customWidth="1"/>
    <col min="5890" max="5890" width="9.625" style="0" bestFit="1" customWidth="1"/>
    <col min="5892" max="5892" width="15.125" style="0" customWidth="1"/>
    <col min="5893" max="5893" width="31.375" style="0" customWidth="1"/>
    <col min="5894" max="5897" width="9.125" style="0" customWidth="1"/>
    <col min="5898" max="5898" width="22.25390625" style="0" customWidth="1"/>
    <col min="6143" max="6143" width="19.75390625" style="0" customWidth="1"/>
    <col min="6144" max="6144" width="4.375" style="0" customWidth="1"/>
    <col min="6145" max="6145" width="26.375" style="0" customWidth="1"/>
    <col min="6146" max="6146" width="9.625" style="0" bestFit="1" customWidth="1"/>
    <col min="6148" max="6148" width="15.125" style="0" customWidth="1"/>
    <col min="6149" max="6149" width="31.375" style="0" customWidth="1"/>
    <col min="6150" max="6153" width="9.125" style="0" customWidth="1"/>
    <col min="6154" max="6154" width="22.25390625" style="0" customWidth="1"/>
    <col min="6399" max="6399" width="19.75390625" style="0" customWidth="1"/>
    <col min="6400" max="6400" width="4.375" style="0" customWidth="1"/>
    <col min="6401" max="6401" width="26.375" style="0" customWidth="1"/>
    <col min="6402" max="6402" width="9.625" style="0" bestFit="1" customWidth="1"/>
    <col min="6404" max="6404" width="15.125" style="0" customWidth="1"/>
    <col min="6405" max="6405" width="31.375" style="0" customWidth="1"/>
    <col min="6406" max="6409" width="9.125" style="0" customWidth="1"/>
    <col min="6410" max="6410" width="22.25390625" style="0" customWidth="1"/>
    <col min="6655" max="6655" width="19.75390625" style="0" customWidth="1"/>
    <col min="6656" max="6656" width="4.375" style="0" customWidth="1"/>
    <col min="6657" max="6657" width="26.375" style="0" customWidth="1"/>
    <col min="6658" max="6658" width="9.625" style="0" bestFit="1" customWidth="1"/>
    <col min="6660" max="6660" width="15.125" style="0" customWidth="1"/>
    <col min="6661" max="6661" width="31.375" style="0" customWidth="1"/>
    <col min="6662" max="6665" width="9.125" style="0" customWidth="1"/>
    <col min="6666" max="6666" width="22.25390625" style="0" customWidth="1"/>
    <col min="6911" max="6911" width="19.75390625" style="0" customWidth="1"/>
    <col min="6912" max="6912" width="4.375" style="0" customWidth="1"/>
    <col min="6913" max="6913" width="26.375" style="0" customWidth="1"/>
    <col min="6914" max="6914" width="9.625" style="0" bestFit="1" customWidth="1"/>
    <col min="6916" max="6916" width="15.125" style="0" customWidth="1"/>
    <col min="6917" max="6917" width="31.375" style="0" customWidth="1"/>
    <col min="6918" max="6921" width="9.125" style="0" customWidth="1"/>
    <col min="6922" max="6922" width="22.25390625" style="0" customWidth="1"/>
    <col min="7167" max="7167" width="19.75390625" style="0" customWidth="1"/>
    <col min="7168" max="7168" width="4.375" style="0" customWidth="1"/>
    <col min="7169" max="7169" width="26.375" style="0" customWidth="1"/>
    <col min="7170" max="7170" width="9.625" style="0" bestFit="1" customWidth="1"/>
    <col min="7172" max="7172" width="15.125" style="0" customWidth="1"/>
    <col min="7173" max="7173" width="31.375" style="0" customWidth="1"/>
    <col min="7174" max="7177" width="9.125" style="0" customWidth="1"/>
    <col min="7178" max="7178" width="22.25390625" style="0" customWidth="1"/>
    <col min="7423" max="7423" width="19.75390625" style="0" customWidth="1"/>
    <col min="7424" max="7424" width="4.375" style="0" customWidth="1"/>
    <col min="7425" max="7425" width="26.375" style="0" customWidth="1"/>
    <col min="7426" max="7426" width="9.625" style="0" bestFit="1" customWidth="1"/>
    <col min="7428" max="7428" width="15.125" style="0" customWidth="1"/>
    <col min="7429" max="7429" width="31.375" style="0" customWidth="1"/>
    <col min="7430" max="7433" width="9.125" style="0" customWidth="1"/>
    <col min="7434" max="7434" width="22.25390625" style="0" customWidth="1"/>
    <col min="7679" max="7679" width="19.75390625" style="0" customWidth="1"/>
    <col min="7680" max="7680" width="4.375" style="0" customWidth="1"/>
    <col min="7681" max="7681" width="26.375" style="0" customWidth="1"/>
    <col min="7682" max="7682" width="9.625" style="0" bestFit="1" customWidth="1"/>
    <col min="7684" max="7684" width="15.125" style="0" customWidth="1"/>
    <col min="7685" max="7685" width="31.375" style="0" customWidth="1"/>
    <col min="7686" max="7689" width="9.125" style="0" customWidth="1"/>
    <col min="7690" max="7690" width="22.25390625" style="0" customWidth="1"/>
    <col min="7935" max="7935" width="19.75390625" style="0" customWidth="1"/>
    <col min="7936" max="7936" width="4.375" style="0" customWidth="1"/>
    <col min="7937" max="7937" width="26.375" style="0" customWidth="1"/>
    <col min="7938" max="7938" width="9.625" style="0" bestFit="1" customWidth="1"/>
    <col min="7940" max="7940" width="15.125" style="0" customWidth="1"/>
    <col min="7941" max="7941" width="31.375" style="0" customWidth="1"/>
    <col min="7942" max="7945" width="9.125" style="0" customWidth="1"/>
    <col min="7946" max="7946" width="22.25390625" style="0" customWidth="1"/>
    <col min="8191" max="8191" width="19.75390625" style="0" customWidth="1"/>
    <col min="8192" max="8192" width="4.375" style="0" customWidth="1"/>
    <col min="8193" max="8193" width="26.375" style="0" customWidth="1"/>
    <col min="8194" max="8194" width="9.625" style="0" bestFit="1" customWidth="1"/>
    <col min="8196" max="8196" width="15.125" style="0" customWidth="1"/>
    <col min="8197" max="8197" width="31.375" style="0" customWidth="1"/>
    <col min="8198" max="8201" width="9.125" style="0" customWidth="1"/>
    <col min="8202" max="8202" width="22.25390625" style="0" customWidth="1"/>
    <col min="8447" max="8447" width="19.75390625" style="0" customWidth="1"/>
    <col min="8448" max="8448" width="4.375" style="0" customWidth="1"/>
    <col min="8449" max="8449" width="26.375" style="0" customWidth="1"/>
    <col min="8450" max="8450" width="9.625" style="0" bestFit="1" customWidth="1"/>
    <col min="8452" max="8452" width="15.125" style="0" customWidth="1"/>
    <col min="8453" max="8453" width="31.375" style="0" customWidth="1"/>
    <col min="8454" max="8457" width="9.125" style="0" customWidth="1"/>
    <col min="8458" max="8458" width="22.25390625" style="0" customWidth="1"/>
    <col min="8703" max="8703" width="19.75390625" style="0" customWidth="1"/>
    <col min="8704" max="8704" width="4.375" style="0" customWidth="1"/>
    <col min="8705" max="8705" width="26.375" style="0" customWidth="1"/>
    <col min="8706" max="8706" width="9.625" style="0" bestFit="1" customWidth="1"/>
    <col min="8708" max="8708" width="15.125" style="0" customWidth="1"/>
    <col min="8709" max="8709" width="31.375" style="0" customWidth="1"/>
    <col min="8710" max="8713" width="9.125" style="0" customWidth="1"/>
    <col min="8714" max="8714" width="22.25390625" style="0" customWidth="1"/>
    <col min="8959" max="8959" width="19.75390625" style="0" customWidth="1"/>
    <col min="8960" max="8960" width="4.375" style="0" customWidth="1"/>
    <col min="8961" max="8961" width="26.375" style="0" customWidth="1"/>
    <col min="8962" max="8962" width="9.625" style="0" bestFit="1" customWidth="1"/>
    <col min="8964" max="8964" width="15.125" style="0" customWidth="1"/>
    <col min="8965" max="8965" width="31.375" style="0" customWidth="1"/>
    <col min="8966" max="8969" width="9.125" style="0" customWidth="1"/>
    <col min="8970" max="8970" width="22.25390625" style="0" customWidth="1"/>
    <col min="9215" max="9215" width="19.75390625" style="0" customWidth="1"/>
    <col min="9216" max="9216" width="4.375" style="0" customWidth="1"/>
    <col min="9217" max="9217" width="26.375" style="0" customWidth="1"/>
    <col min="9218" max="9218" width="9.625" style="0" bestFit="1" customWidth="1"/>
    <col min="9220" max="9220" width="15.125" style="0" customWidth="1"/>
    <col min="9221" max="9221" width="31.375" style="0" customWidth="1"/>
    <col min="9222" max="9225" width="9.125" style="0" customWidth="1"/>
    <col min="9226" max="9226" width="22.25390625" style="0" customWidth="1"/>
    <col min="9471" max="9471" width="19.75390625" style="0" customWidth="1"/>
    <col min="9472" max="9472" width="4.375" style="0" customWidth="1"/>
    <col min="9473" max="9473" width="26.375" style="0" customWidth="1"/>
    <col min="9474" max="9474" width="9.625" style="0" bestFit="1" customWidth="1"/>
    <col min="9476" max="9476" width="15.125" style="0" customWidth="1"/>
    <col min="9477" max="9477" width="31.375" style="0" customWidth="1"/>
    <col min="9478" max="9481" width="9.125" style="0" customWidth="1"/>
    <col min="9482" max="9482" width="22.25390625" style="0" customWidth="1"/>
    <col min="9727" max="9727" width="19.75390625" style="0" customWidth="1"/>
    <col min="9728" max="9728" width="4.375" style="0" customWidth="1"/>
    <col min="9729" max="9729" width="26.375" style="0" customWidth="1"/>
    <col min="9730" max="9730" width="9.625" style="0" bestFit="1" customWidth="1"/>
    <col min="9732" max="9732" width="15.125" style="0" customWidth="1"/>
    <col min="9733" max="9733" width="31.375" style="0" customWidth="1"/>
    <col min="9734" max="9737" width="9.125" style="0" customWidth="1"/>
    <col min="9738" max="9738" width="22.25390625" style="0" customWidth="1"/>
    <col min="9983" max="9983" width="19.75390625" style="0" customWidth="1"/>
    <col min="9984" max="9984" width="4.375" style="0" customWidth="1"/>
    <col min="9985" max="9985" width="26.375" style="0" customWidth="1"/>
    <col min="9986" max="9986" width="9.625" style="0" bestFit="1" customWidth="1"/>
    <col min="9988" max="9988" width="15.125" style="0" customWidth="1"/>
    <col min="9989" max="9989" width="31.375" style="0" customWidth="1"/>
    <col min="9990" max="9993" width="9.125" style="0" customWidth="1"/>
    <col min="9994" max="9994" width="22.25390625" style="0" customWidth="1"/>
    <col min="10239" max="10239" width="19.75390625" style="0" customWidth="1"/>
    <col min="10240" max="10240" width="4.375" style="0" customWidth="1"/>
    <col min="10241" max="10241" width="26.375" style="0" customWidth="1"/>
    <col min="10242" max="10242" width="9.625" style="0" bestFit="1" customWidth="1"/>
    <col min="10244" max="10244" width="15.125" style="0" customWidth="1"/>
    <col min="10245" max="10245" width="31.375" style="0" customWidth="1"/>
    <col min="10246" max="10249" width="9.125" style="0" customWidth="1"/>
    <col min="10250" max="10250" width="22.25390625" style="0" customWidth="1"/>
    <col min="10495" max="10495" width="19.75390625" style="0" customWidth="1"/>
    <col min="10496" max="10496" width="4.375" style="0" customWidth="1"/>
    <col min="10497" max="10497" width="26.375" style="0" customWidth="1"/>
    <col min="10498" max="10498" width="9.625" style="0" bestFit="1" customWidth="1"/>
    <col min="10500" max="10500" width="15.125" style="0" customWidth="1"/>
    <col min="10501" max="10501" width="31.375" style="0" customWidth="1"/>
    <col min="10502" max="10505" width="9.125" style="0" customWidth="1"/>
    <col min="10506" max="10506" width="22.25390625" style="0" customWidth="1"/>
    <col min="10751" max="10751" width="19.75390625" style="0" customWidth="1"/>
    <col min="10752" max="10752" width="4.375" style="0" customWidth="1"/>
    <col min="10753" max="10753" width="26.375" style="0" customWidth="1"/>
    <col min="10754" max="10754" width="9.625" style="0" bestFit="1" customWidth="1"/>
    <col min="10756" max="10756" width="15.125" style="0" customWidth="1"/>
    <col min="10757" max="10757" width="31.375" style="0" customWidth="1"/>
    <col min="10758" max="10761" width="9.125" style="0" customWidth="1"/>
    <col min="10762" max="10762" width="22.25390625" style="0" customWidth="1"/>
    <col min="11007" max="11007" width="19.75390625" style="0" customWidth="1"/>
    <col min="11008" max="11008" width="4.375" style="0" customWidth="1"/>
    <col min="11009" max="11009" width="26.375" style="0" customWidth="1"/>
    <col min="11010" max="11010" width="9.625" style="0" bestFit="1" customWidth="1"/>
    <col min="11012" max="11012" width="15.125" style="0" customWidth="1"/>
    <col min="11013" max="11013" width="31.375" style="0" customWidth="1"/>
    <col min="11014" max="11017" width="9.125" style="0" customWidth="1"/>
    <col min="11018" max="11018" width="22.25390625" style="0" customWidth="1"/>
    <col min="11263" max="11263" width="19.75390625" style="0" customWidth="1"/>
    <col min="11264" max="11264" width="4.375" style="0" customWidth="1"/>
    <col min="11265" max="11265" width="26.375" style="0" customWidth="1"/>
    <col min="11266" max="11266" width="9.625" style="0" bestFit="1" customWidth="1"/>
    <col min="11268" max="11268" width="15.125" style="0" customWidth="1"/>
    <col min="11269" max="11269" width="31.375" style="0" customWidth="1"/>
    <col min="11270" max="11273" width="9.125" style="0" customWidth="1"/>
    <col min="11274" max="11274" width="22.25390625" style="0" customWidth="1"/>
    <col min="11519" max="11519" width="19.75390625" style="0" customWidth="1"/>
    <col min="11520" max="11520" width="4.375" style="0" customWidth="1"/>
    <col min="11521" max="11521" width="26.375" style="0" customWidth="1"/>
    <col min="11522" max="11522" width="9.625" style="0" bestFit="1" customWidth="1"/>
    <col min="11524" max="11524" width="15.125" style="0" customWidth="1"/>
    <col min="11525" max="11525" width="31.375" style="0" customWidth="1"/>
    <col min="11526" max="11529" width="9.125" style="0" customWidth="1"/>
    <col min="11530" max="11530" width="22.25390625" style="0" customWidth="1"/>
    <col min="11775" max="11775" width="19.75390625" style="0" customWidth="1"/>
    <col min="11776" max="11776" width="4.375" style="0" customWidth="1"/>
    <col min="11777" max="11777" width="26.375" style="0" customWidth="1"/>
    <col min="11778" max="11778" width="9.625" style="0" bestFit="1" customWidth="1"/>
    <col min="11780" max="11780" width="15.125" style="0" customWidth="1"/>
    <col min="11781" max="11781" width="31.375" style="0" customWidth="1"/>
    <col min="11782" max="11785" width="9.125" style="0" customWidth="1"/>
    <col min="11786" max="11786" width="22.25390625" style="0" customWidth="1"/>
    <col min="12031" max="12031" width="19.75390625" style="0" customWidth="1"/>
    <col min="12032" max="12032" width="4.375" style="0" customWidth="1"/>
    <col min="12033" max="12033" width="26.375" style="0" customWidth="1"/>
    <col min="12034" max="12034" width="9.625" style="0" bestFit="1" customWidth="1"/>
    <col min="12036" max="12036" width="15.125" style="0" customWidth="1"/>
    <col min="12037" max="12037" width="31.375" style="0" customWidth="1"/>
    <col min="12038" max="12041" width="9.125" style="0" customWidth="1"/>
    <col min="12042" max="12042" width="22.25390625" style="0" customWidth="1"/>
    <col min="12287" max="12287" width="19.75390625" style="0" customWidth="1"/>
    <col min="12288" max="12288" width="4.375" style="0" customWidth="1"/>
    <col min="12289" max="12289" width="26.375" style="0" customWidth="1"/>
    <col min="12290" max="12290" width="9.625" style="0" bestFit="1" customWidth="1"/>
    <col min="12292" max="12292" width="15.125" style="0" customWidth="1"/>
    <col min="12293" max="12293" width="31.375" style="0" customWidth="1"/>
    <col min="12294" max="12297" width="9.125" style="0" customWidth="1"/>
    <col min="12298" max="12298" width="22.25390625" style="0" customWidth="1"/>
    <col min="12543" max="12543" width="19.75390625" style="0" customWidth="1"/>
    <col min="12544" max="12544" width="4.375" style="0" customWidth="1"/>
    <col min="12545" max="12545" width="26.375" style="0" customWidth="1"/>
    <col min="12546" max="12546" width="9.625" style="0" bestFit="1" customWidth="1"/>
    <col min="12548" max="12548" width="15.125" style="0" customWidth="1"/>
    <col min="12549" max="12549" width="31.375" style="0" customWidth="1"/>
    <col min="12550" max="12553" width="9.125" style="0" customWidth="1"/>
    <col min="12554" max="12554" width="22.25390625" style="0" customWidth="1"/>
    <col min="12799" max="12799" width="19.75390625" style="0" customWidth="1"/>
    <col min="12800" max="12800" width="4.375" style="0" customWidth="1"/>
    <col min="12801" max="12801" width="26.375" style="0" customWidth="1"/>
    <col min="12802" max="12802" width="9.625" style="0" bestFit="1" customWidth="1"/>
    <col min="12804" max="12804" width="15.125" style="0" customWidth="1"/>
    <col min="12805" max="12805" width="31.375" style="0" customWidth="1"/>
    <col min="12806" max="12809" width="9.125" style="0" customWidth="1"/>
    <col min="12810" max="12810" width="22.25390625" style="0" customWidth="1"/>
    <col min="13055" max="13055" width="19.75390625" style="0" customWidth="1"/>
    <col min="13056" max="13056" width="4.375" style="0" customWidth="1"/>
    <col min="13057" max="13057" width="26.375" style="0" customWidth="1"/>
    <col min="13058" max="13058" width="9.625" style="0" bestFit="1" customWidth="1"/>
    <col min="13060" max="13060" width="15.125" style="0" customWidth="1"/>
    <col min="13061" max="13061" width="31.375" style="0" customWidth="1"/>
    <col min="13062" max="13065" width="9.125" style="0" customWidth="1"/>
    <col min="13066" max="13066" width="22.25390625" style="0" customWidth="1"/>
    <col min="13311" max="13311" width="19.75390625" style="0" customWidth="1"/>
    <col min="13312" max="13312" width="4.375" style="0" customWidth="1"/>
    <col min="13313" max="13313" width="26.375" style="0" customWidth="1"/>
    <col min="13314" max="13314" width="9.625" style="0" bestFit="1" customWidth="1"/>
    <col min="13316" max="13316" width="15.125" style="0" customWidth="1"/>
    <col min="13317" max="13317" width="31.375" style="0" customWidth="1"/>
    <col min="13318" max="13321" width="9.125" style="0" customWidth="1"/>
    <col min="13322" max="13322" width="22.25390625" style="0" customWidth="1"/>
    <col min="13567" max="13567" width="19.75390625" style="0" customWidth="1"/>
    <col min="13568" max="13568" width="4.375" style="0" customWidth="1"/>
    <col min="13569" max="13569" width="26.375" style="0" customWidth="1"/>
    <col min="13570" max="13570" width="9.625" style="0" bestFit="1" customWidth="1"/>
    <col min="13572" max="13572" width="15.125" style="0" customWidth="1"/>
    <col min="13573" max="13573" width="31.375" style="0" customWidth="1"/>
    <col min="13574" max="13577" width="9.125" style="0" customWidth="1"/>
    <col min="13578" max="13578" width="22.25390625" style="0" customWidth="1"/>
    <col min="13823" max="13823" width="19.75390625" style="0" customWidth="1"/>
    <col min="13824" max="13824" width="4.375" style="0" customWidth="1"/>
    <col min="13825" max="13825" width="26.375" style="0" customWidth="1"/>
    <col min="13826" max="13826" width="9.625" style="0" bestFit="1" customWidth="1"/>
    <col min="13828" max="13828" width="15.125" style="0" customWidth="1"/>
    <col min="13829" max="13829" width="31.375" style="0" customWidth="1"/>
    <col min="13830" max="13833" width="9.125" style="0" customWidth="1"/>
    <col min="13834" max="13834" width="22.25390625" style="0" customWidth="1"/>
    <col min="14079" max="14079" width="19.75390625" style="0" customWidth="1"/>
    <col min="14080" max="14080" width="4.375" style="0" customWidth="1"/>
    <col min="14081" max="14081" width="26.375" style="0" customWidth="1"/>
    <col min="14082" max="14082" width="9.625" style="0" bestFit="1" customWidth="1"/>
    <col min="14084" max="14084" width="15.125" style="0" customWidth="1"/>
    <col min="14085" max="14085" width="31.375" style="0" customWidth="1"/>
    <col min="14086" max="14089" width="9.125" style="0" customWidth="1"/>
    <col min="14090" max="14090" width="22.25390625" style="0" customWidth="1"/>
    <col min="14335" max="14335" width="19.75390625" style="0" customWidth="1"/>
    <col min="14336" max="14336" width="4.375" style="0" customWidth="1"/>
    <col min="14337" max="14337" width="26.375" style="0" customWidth="1"/>
    <col min="14338" max="14338" width="9.625" style="0" bestFit="1" customWidth="1"/>
    <col min="14340" max="14340" width="15.125" style="0" customWidth="1"/>
    <col min="14341" max="14341" width="31.375" style="0" customWidth="1"/>
    <col min="14342" max="14345" width="9.125" style="0" customWidth="1"/>
    <col min="14346" max="14346" width="22.25390625" style="0" customWidth="1"/>
    <col min="14591" max="14591" width="19.75390625" style="0" customWidth="1"/>
    <col min="14592" max="14592" width="4.375" style="0" customWidth="1"/>
    <col min="14593" max="14593" width="26.375" style="0" customWidth="1"/>
    <col min="14594" max="14594" width="9.625" style="0" bestFit="1" customWidth="1"/>
    <col min="14596" max="14596" width="15.125" style="0" customWidth="1"/>
    <col min="14597" max="14597" width="31.375" style="0" customWidth="1"/>
    <col min="14598" max="14601" width="9.125" style="0" customWidth="1"/>
    <col min="14602" max="14602" width="22.25390625" style="0" customWidth="1"/>
    <col min="14847" max="14847" width="19.75390625" style="0" customWidth="1"/>
    <col min="14848" max="14848" width="4.375" style="0" customWidth="1"/>
    <col min="14849" max="14849" width="26.375" style="0" customWidth="1"/>
    <col min="14850" max="14850" width="9.625" style="0" bestFit="1" customWidth="1"/>
    <col min="14852" max="14852" width="15.125" style="0" customWidth="1"/>
    <col min="14853" max="14853" width="31.375" style="0" customWidth="1"/>
    <col min="14854" max="14857" width="9.125" style="0" customWidth="1"/>
    <col min="14858" max="14858" width="22.25390625" style="0" customWidth="1"/>
    <col min="15103" max="15103" width="19.75390625" style="0" customWidth="1"/>
    <col min="15104" max="15104" width="4.375" style="0" customWidth="1"/>
    <col min="15105" max="15105" width="26.375" style="0" customWidth="1"/>
    <col min="15106" max="15106" width="9.625" style="0" bestFit="1" customWidth="1"/>
    <col min="15108" max="15108" width="15.125" style="0" customWidth="1"/>
    <col min="15109" max="15109" width="31.375" style="0" customWidth="1"/>
    <col min="15110" max="15113" width="9.125" style="0" customWidth="1"/>
    <col min="15114" max="15114" width="22.25390625" style="0" customWidth="1"/>
    <col min="15359" max="15359" width="19.75390625" style="0" customWidth="1"/>
    <col min="15360" max="15360" width="4.375" style="0" customWidth="1"/>
    <col min="15361" max="15361" width="26.375" style="0" customWidth="1"/>
    <col min="15362" max="15362" width="9.625" style="0" bestFit="1" customWidth="1"/>
    <col min="15364" max="15364" width="15.125" style="0" customWidth="1"/>
    <col min="15365" max="15365" width="31.375" style="0" customWidth="1"/>
    <col min="15366" max="15369" width="9.125" style="0" customWidth="1"/>
    <col min="15370" max="15370" width="22.25390625" style="0" customWidth="1"/>
    <col min="15615" max="15615" width="19.75390625" style="0" customWidth="1"/>
    <col min="15616" max="15616" width="4.375" style="0" customWidth="1"/>
    <col min="15617" max="15617" width="26.375" style="0" customWidth="1"/>
    <col min="15618" max="15618" width="9.625" style="0" bestFit="1" customWidth="1"/>
    <col min="15620" max="15620" width="15.125" style="0" customWidth="1"/>
    <col min="15621" max="15621" width="31.375" style="0" customWidth="1"/>
    <col min="15622" max="15625" width="9.125" style="0" customWidth="1"/>
    <col min="15626" max="15626" width="22.25390625" style="0" customWidth="1"/>
    <col min="15871" max="15871" width="19.75390625" style="0" customWidth="1"/>
    <col min="15872" max="15872" width="4.375" style="0" customWidth="1"/>
    <col min="15873" max="15873" width="26.375" style="0" customWidth="1"/>
    <col min="15874" max="15874" width="9.625" style="0" bestFit="1" customWidth="1"/>
    <col min="15876" max="15876" width="15.125" style="0" customWidth="1"/>
    <col min="15877" max="15877" width="31.375" style="0" customWidth="1"/>
    <col min="15878" max="15881" width="9.125" style="0" customWidth="1"/>
    <col min="15882" max="15882" width="22.25390625" style="0" customWidth="1"/>
    <col min="16127" max="16127" width="19.75390625" style="0" customWidth="1"/>
    <col min="16128" max="16128" width="4.375" style="0" customWidth="1"/>
    <col min="16129" max="16129" width="26.375" style="0" customWidth="1"/>
    <col min="16130" max="16130" width="9.625" style="0" bestFit="1" customWidth="1"/>
    <col min="16132" max="16132" width="15.125" style="0" customWidth="1"/>
    <col min="16133" max="16133" width="31.375" style="0" customWidth="1"/>
    <col min="16134" max="16137" width="9.125" style="0" customWidth="1"/>
    <col min="16138" max="16138" width="22.25390625" style="0" customWidth="1"/>
  </cols>
  <sheetData>
    <row r="2" spans="2:10" ht="15.75" customHeight="1">
      <c r="B2" s="618"/>
      <c r="C2" s="29"/>
      <c r="D2" s="2185" t="s">
        <v>126</v>
      </c>
      <c r="E2" s="2185"/>
      <c r="F2" s="2185"/>
      <c r="G2" s="29"/>
      <c r="H2" s="2140"/>
      <c r="I2" s="2140"/>
      <c r="J2" s="2140"/>
    </row>
    <row r="3" spans="2:10" ht="15.75">
      <c r="B3" s="618"/>
      <c r="C3" s="29"/>
      <c r="D3" s="2185"/>
      <c r="E3" s="2185"/>
      <c r="F3" s="2185"/>
      <c r="G3" s="29"/>
      <c r="H3" s="2140"/>
      <c r="I3" s="2140"/>
      <c r="J3" s="2140"/>
    </row>
    <row r="4" spans="2:10" ht="15.75">
      <c r="B4" s="618"/>
      <c r="C4" s="29"/>
      <c r="D4" s="2185"/>
      <c r="E4" s="2185"/>
      <c r="F4" s="2185"/>
      <c r="G4" s="29"/>
      <c r="H4" s="2140"/>
      <c r="I4" s="2140"/>
      <c r="J4" s="2140"/>
    </row>
    <row r="5" spans="2:10" ht="15.75">
      <c r="B5" s="618"/>
      <c r="C5" s="29"/>
      <c r="D5" s="2185"/>
      <c r="E5" s="2185"/>
      <c r="F5" s="2185"/>
      <c r="G5" s="29"/>
      <c r="H5" s="2140"/>
      <c r="I5" s="2140"/>
      <c r="J5" s="2140"/>
    </row>
    <row r="6" spans="2:10" ht="15.75">
      <c r="B6" s="2155" t="s">
        <v>43</v>
      </c>
      <c r="C6" s="2155"/>
      <c r="D6" s="2155"/>
      <c r="E6" s="2155"/>
      <c r="F6" s="2155"/>
      <c r="G6" s="118"/>
      <c r="H6" s="118"/>
      <c r="I6" s="118"/>
      <c r="J6" s="118"/>
    </row>
    <row r="7" spans="2:10" ht="15.75">
      <c r="B7" s="1903" t="s">
        <v>388</v>
      </c>
      <c r="C7" s="1903"/>
      <c r="D7" s="1903"/>
      <c r="E7" s="1903"/>
      <c r="F7" s="1903"/>
      <c r="G7" s="119"/>
      <c r="H7" s="119"/>
      <c r="I7" s="119"/>
      <c r="J7" s="119"/>
    </row>
    <row r="8" spans="2:11" ht="15.75">
      <c r="B8" s="120"/>
      <c r="C8" s="2186" t="s">
        <v>2</v>
      </c>
      <c r="D8" s="2186"/>
      <c r="E8" s="2186"/>
      <c r="F8" s="2186"/>
      <c r="G8" s="121"/>
      <c r="H8" s="123"/>
      <c r="I8" s="124"/>
      <c r="J8" s="125"/>
      <c r="K8" s="20"/>
    </row>
    <row r="9" spans="2:11" ht="16.5" thickBot="1">
      <c r="B9" s="120"/>
      <c r="C9" s="619"/>
      <c r="D9" s="619"/>
      <c r="E9" s="619"/>
      <c r="F9" s="619"/>
      <c r="G9" s="121"/>
      <c r="H9" s="123" t="s">
        <v>422</v>
      </c>
      <c r="I9" s="124"/>
      <c r="J9" s="125"/>
      <c r="K9" s="20"/>
    </row>
    <row r="10" spans="2:11" ht="15.75">
      <c r="B10" s="127" t="s">
        <v>128</v>
      </c>
      <c r="C10" s="2187" t="s">
        <v>6</v>
      </c>
      <c r="D10" s="2189" t="s">
        <v>390</v>
      </c>
      <c r="E10" s="2193" t="s">
        <v>131</v>
      </c>
      <c r="F10" s="2195" t="s">
        <v>132</v>
      </c>
      <c r="G10" s="2179" t="s">
        <v>390</v>
      </c>
      <c r="H10" s="2179" t="s">
        <v>133</v>
      </c>
      <c r="I10" s="2181" t="s">
        <v>134</v>
      </c>
      <c r="J10" s="2183" t="s">
        <v>132</v>
      </c>
      <c r="K10" s="20"/>
    </row>
    <row r="11" spans="2:11" ht="16.5" thickBot="1">
      <c r="B11" s="128" t="s">
        <v>135</v>
      </c>
      <c r="C11" s="2188"/>
      <c r="D11" s="2190"/>
      <c r="E11" s="2194"/>
      <c r="F11" s="2196"/>
      <c r="G11" s="2180"/>
      <c r="H11" s="2180"/>
      <c r="I11" s="2182"/>
      <c r="J11" s="2184"/>
      <c r="K11" s="20"/>
    </row>
    <row r="12" spans="2:11" ht="15.75">
      <c r="B12" s="129">
        <f>1</f>
        <v>1</v>
      </c>
      <c r="C12" s="130" t="s">
        <v>118</v>
      </c>
      <c r="D12" s="131">
        <v>20</v>
      </c>
      <c r="E12" s="133">
        <f aca="true" t="shared" si="0" ref="E12:E25">D12*0.634</f>
        <v>12.68</v>
      </c>
      <c r="F12" s="134" t="s">
        <v>421</v>
      </c>
      <c r="G12" s="135"/>
      <c r="H12" s="137"/>
      <c r="I12" s="138"/>
      <c r="J12" s="139"/>
      <c r="K12" s="20"/>
    </row>
    <row r="13" spans="2:11" ht="15.75">
      <c r="B13" s="129">
        <f>B12+1</f>
        <v>2</v>
      </c>
      <c r="C13" s="130" t="s">
        <v>55</v>
      </c>
      <c r="D13" s="131">
        <v>16</v>
      </c>
      <c r="E13" s="133">
        <f t="shared" si="0"/>
        <v>10.144</v>
      </c>
      <c r="F13" s="140" t="s">
        <v>427</v>
      </c>
      <c r="G13" s="135"/>
      <c r="H13" s="137"/>
      <c r="I13" s="138"/>
      <c r="J13" s="139"/>
      <c r="K13" s="20"/>
    </row>
    <row r="14" spans="2:11" ht="15.75">
      <c r="B14" s="129">
        <f aca="true" t="shared" si="1" ref="B14:B25">B13+1</f>
        <v>3</v>
      </c>
      <c r="C14" s="130" t="s">
        <v>30</v>
      </c>
      <c r="D14" s="131">
        <v>12</v>
      </c>
      <c r="E14" s="133">
        <f t="shared" si="0"/>
        <v>7.6080000000000005</v>
      </c>
      <c r="F14" s="140" t="s">
        <v>429</v>
      </c>
      <c r="G14" s="135"/>
      <c r="H14" s="137"/>
      <c r="I14" s="138"/>
      <c r="J14" s="139"/>
      <c r="K14" s="20"/>
    </row>
    <row r="15" spans="2:11" ht="15.75">
      <c r="B15" s="129">
        <f t="shared" si="1"/>
        <v>4</v>
      </c>
      <c r="C15" s="130" t="s">
        <v>77</v>
      </c>
      <c r="D15" s="131">
        <v>20</v>
      </c>
      <c r="E15" s="133">
        <f t="shared" si="0"/>
        <v>12.68</v>
      </c>
      <c r="F15" s="140" t="s">
        <v>432</v>
      </c>
      <c r="G15" s="135"/>
      <c r="H15" s="137"/>
      <c r="I15" s="138"/>
      <c r="J15" s="139"/>
      <c r="K15" s="20"/>
    </row>
    <row r="16" spans="2:11" ht="15.75">
      <c r="B16" s="129">
        <f t="shared" si="1"/>
        <v>5</v>
      </c>
      <c r="C16" s="130" t="s">
        <v>487</v>
      </c>
      <c r="D16" s="131">
        <v>8</v>
      </c>
      <c r="E16" s="133">
        <f t="shared" si="0"/>
        <v>5.072</v>
      </c>
      <c r="F16" s="140" t="s">
        <v>490</v>
      </c>
      <c r="G16" s="135"/>
      <c r="H16" s="137"/>
      <c r="I16" s="138"/>
      <c r="J16" s="139"/>
      <c r="K16" s="20"/>
    </row>
    <row r="17" spans="2:11" ht="15.75">
      <c r="B17" s="129">
        <f t="shared" si="1"/>
        <v>6</v>
      </c>
      <c r="C17" s="130" t="s">
        <v>489</v>
      </c>
      <c r="D17" s="825">
        <v>8</v>
      </c>
      <c r="E17" s="133">
        <f t="shared" si="0"/>
        <v>5.072</v>
      </c>
      <c r="F17" s="827" t="s">
        <v>490</v>
      </c>
      <c r="G17" s="135"/>
      <c r="H17" s="137"/>
      <c r="I17" s="138"/>
      <c r="J17" s="139"/>
      <c r="K17" s="20"/>
    </row>
    <row r="18" spans="2:11" ht="15.75">
      <c r="B18" s="129">
        <f t="shared" si="1"/>
        <v>7</v>
      </c>
      <c r="C18" s="130" t="s">
        <v>409</v>
      </c>
      <c r="D18" s="131">
        <v>8</v>
      </c>
      <c r="E18" s="133">
        <f t="shared" si="0"/>
        <v>5.072</v>
      </c>
      <c r="F18" s="140" t="s">
        <v>411</v>
      </c>
      <c r="G18" s="135"/>
      <c r="H18" s="137"/>
      <c r="I18" s="138"/>
      <c r="J18" s="139"/>
      <c r="K18" s="20"/>
    </row>
    <row r="19" spans="2:11" ht="15.75">
      <c r="B19" s="129">
        <f t="shared" si="1"/>
        <v>8</v>
      </c>
      <c r="C19" s="130" t="s">
        <v>61</v>
      </c>
      <c r="D19" s="131">
        <v>16</v>
      </c>
      <c r="E19" s="133">
        <f t="shared" si="0"/>
        <v>10.144</v>
      </c>
      <c r="F19" s="145" t="s">
        <v>413</v>
      </c>
      <c r="G19" s="135"/>
      <c r="H19" s="137"/>
      <c r="I19" s="138"/>
      <c r="J19" s="139"/>
      <c r="K19" s="20"/>
    </row>
    <row r="20" spans="2:11" ht="15.75">
      <c r="B20" s="129">
        <f t="shared" si="1"/>
        <v>9</v>
      </c>
      <c r="C20" s="130" t="s">
        <v>62</v>
      </c>
      <c r="D20" s="143">
        <v>8</v>
      </c>
      <c r="E20" s="133">
        <f t="shared" si="0"/>
        <v>5.072</v>
      </c>
      <c r="F20" s="142" t="s">
        <v>414</v>
      </c>
      <c r="G20" s="146"/>
      <c r="H20" s="137"/>
      <c r="I20" s="148"/>
      <c r="J20" s="149"/>
      <c r="K20" s="20"/>
    </row>
    <row r="21" spans="2:11" ht="15.75">
      <c r="B21" s="129">
        <f t="shared" si="1"/>
        <v>10</v>
      </c>
      <c r="C21" s="130" t="s">
        <v>415</v>
      </c>
      <c r="D21" s="143">
        <v>8</v>
      </c>
      <c r="E21" s="133">
        <f t="shared" si="0"/>
        <v>5.072</v>
      </c>
      <c r="F21" s="145" t="s">
        <v>416</v>
      </c>
      <c r="G21" s="146"/>
      <c r="H21" s="137"/>
      <c r="I21" s="148"/>
      <c r="J21" s="149"/>
      <c r="K21" s="20"/>
    </row>
    <row r="22" spans="2:11" ht="15.75">
      <c r="B22" s="129">
        <f t="shared" si="1"/>
        <v>11</v>
      </c>
      <c r="C22" s="130" t="s">
        <v>324</v>
      </c>
      <c r="D22" s="143">
        <v>16</v>
      </c>
      <c r="E22" s="133">
        <f t="shared" si="0"/>
        <v>10.144</v>
      </c>
      <c r="F22" s="145" t="s">
        <v>407</v>
      </c>
      <c r="G22" s="146"/>
      <c r="H22" s="137"/>
      <c r="I22" s="148"/>
      <c r="J22" s="149"/>
      <c r="K22" s="20"/>
    </row>
    <row r="23" spans="2:11" ht="15.75">
      <c r="B23" s="129">
        <f t="shared" si="1"/>
        <v>12</v>
      </c>
      <c r="C23" s="130" t="s">
        <v>67</v>
      </c>
      <c r="D23" s="143">
        <v>6</v>
      </c>
      <c r="E23" s="133">
        <f t="shared" si="0"/>
        <v>3.8040000000000003</v>
      </c>
      <c r="F23" s="145" t="s">
        <v>389</v>
      </c>
      <c r="G23" s="146"/>
      <c r="H23" s="137"/>
      <c r="I23" s="148"/>
      <c r="J23" s="958"/>
      <c r="K23" s="20"/>
    </row>
    <row r="24" spans="2:11" ht="15.75">
      <c r="B24" s="129">
        <f t="shared" si="1"/>
        <v>13</v>
      </c>
      <c r="C24" s="130" t="s">
        <v>393</v>
      </c>
      <c r="D24" s="143">
        <v>20</v>
      </c>
      <c r="E24" s="133">
        <f t="shared" si="0"/>
        <v>12.68</v>
      </c>
      <c r="F24" s="145" t="s">
        <v>394</v>
      </c>
      <c r="G24" s="146"/>
      <c r="H24" s="137"/>
      <c r="I24" s="148"/>
      <c r="J24" s="149"/>
      <c r="K24" s="20"/>
    </row>
    <row r="25" spans="2:11" ht="16.5" thickBot="1">
      <c r="B25" s="129">
        <f t="shared" si="1"/>
        <v>14</v>
      </c>
      <c r="C25" s="150" t="s">
        <v>391</v>
      </c>
      <c r="D25" s="143">
        <v>18</v>
      </c>
      <c r="E25" s="133">
        <f t="shared" si="0"/>
        <v>11.412</v>
      </c>
      <c r="F25" s="145" t="s">
        <v>395</v>
      </c>
      <c r="G25" s="146"/>
      <c r="H25" s="137"/>
      <c r="I25" s="148"/>
      <c r="J25" s="149"/>
      <c r="K25" s="20"/>
    </row>
    <row r="26" spans="2:11" ht="16.5" thickBot="1">
      <c r="B26" s="151"/>
      <c r="C26" s="152" t="s">
        <v>142</v>
      </c>
      <c r="D26" s="152">
        <f>SUM(D12:D25)</f>
        <v>184</v>
      </c>
      <c r="E26" s="50">
        <f>SUM(E12:E25)</f>
        <v>116.65600000000003</v>
      </c>
      <c r="F26" s="153"/>
      <c r="G26" s="154"/>
      <c r="H26" s="156"/>
      <c r="I26" s="157"/>
      <c r="J26" s="158"/>
      <c r="K26" s="20"/>
    </row>
    <row r="27" spans="2:6" ht="15.75">
      <c r="B27" s="618"/>
      <c r="C27" s="29"/>
      <c r="D27" s="29"/>
      <c r="E27" s="29"/>
      <c r="F27" s="29"/>
    </row>
    <row r="28" spans="2:6" ht="15.75">
      <c r="B28" s="618"/>
      <c r="C28" s="29"/>
      <c r="D28" s="159"/>
      <c r="E28" s="29"/>
      <c r="F28" s="29"/>
    </row>
    <row r="29" spans="2:6" ht="15.75">
      <c r="B29" s="618"/>
      <c r="C29" s="29"/>
      <c r="D29" s="29"/>
      <c r="E29" s="29"/>
      <c r="F29" s="160"/>
    </row>
    <row r="30" spans="2:6" ht="15.75">
      <c r="B30" s="618"/>
      <c r="C30" s="525" t="s">
        <v>37</v>
      </c>
      <c r="D30" s="29"/>
      <c r="E30" s="29"/>
      <c r="F30" s="29"/>
    </row>
    <row r="31" spans="2:6" ht="15.75">
      <c r="B31" s="618"/>
      <c r="C31" s="29"/>
      <c r="D31" s="29"/>
      <c r="E31" s="29"/>
      <c r="F31" s="29"/>
    </row>
  </sheetData>
  <mergeCells count="13">
    <mergeCell ref="G10:G11"/>
    <mergeCell ref="H10:H11"/>
    <mergeCell ref="I10:I11"/>
    <mergeCell ref="J10:J11"/>
    <mergeCell ref="D2:F5"/>
    <mergeCell ref="H2:J5"/>
    <mergeCell ref="B6:F6"/>
    <mergeCell ref="B7:F7"/>
    <mergeCell ref="C8:F8"/>
    <mergeCell ref="C10:C11"/>
    <mergeCell ref="D10:D11"/>
    <mergeCell ref="E10:E11"/>
    <mergeCell ref="F10:F1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N76"/>
  <sheetViews>
    <sheetView zoomScale="110" zoomScaleNormal="110" workbookViewId="0" topLeftCell="A16">
      <selection activeCell="G87" sqref="G87"/>
    </sheetView>
  </sheetViews>
  <sheetFormatPr defaultColWidth="9.00390625" defaultRowHeight="12.75"/>
  <cols>
    <col min="1" max="1" width="6.625" style="0" customWidth="1"/>
    <col min="2" max="2" width="23.375" style="0" customWidth="1"/>
    <col min="3" max="3" width="9.75390625" style="0" customWidth="1"/>
    <col min="4" max="4" width="13.875" style="0" hidden="1" customWidth="1"/>
    <col min="5" max="5" width="9.375" style="0" hidden="1" customWidth="1"/>
    <col min="6" max="6" width="10.625" style="0" hidden="1" customWidth="1"/>
    <col min="7" max="7" width="10.75390625" style="0" customWidth="1"/>
    <col min="8" max="8" width="16.75390625" style="0" hidden="1" customWidth="1"/>
    <col min="9" max="9" width="14.125" style="0" customWidth="1"/>
    <col min="10" max="10" width="29.625" style="0" customWidth="1"/>
    <col min="11" max="11" width="46.00390625" style="31" hidden="1" customWidth="1"/>
    <col min="14" max="14" width="17.75390625" style="0" customWidth="1"/>
    <col min="238" max="238" width="6.625" style="0" customWidth="1"/>
    <col min="239" max="239" width="24.00390625" style="0" customWidth="1"/>
    <col min="240" max="241" width="9.75390625" style="0" customWidth="1"/>
    <col min="242" max="242" width="9.375" style="0" customWidth="1"/>
    <col min="243" max="243" width="11.75390625" style="0" customWidth="1"/>
    <col min="244" max="244" width="10.75390625" style="0" customWidth="1"/>
    <col min="245" max="245" width="11.375" style="0" customWidth="1"/>
    <col min="246" max="246" width="12.00390625" style="0" customWidth="1"/>
    <col min="247" max="247" width="31.75390625" style="0" customWidth="1"/>
    <col min="248" max="248" width="35.125" style="0" customWidth="1"/>
    <col min="249" max="249" width="39.625" style="0" customWidth="1"/>
    <col min="494" max="494" width="6.625" style="0" customWidth="1"/>
    <col min="495" max="495" width="24.00390625" style="0" customWidth="1"/>
    <col min="496" max="497" width="9.75390625" style="0" customWidth="1"/>
    <col min="498" max="498" width="9.375" style="0" customWidth="1"/>
    <col min="499" max="499" width="11.75390625" style="0" customWidth="1"/>
    <col min="500" max="500" width="10.75390625" style="0" customWidth="1"/>
    <col min="501" max="501" width="11.375" style="0" customWidth="1"/>
    <col min="502" max="502" width="12.00390625" style="0" customWidth="1"/>
    <col min="503" max="503" width="31.75390625" style="0" customWidth="1"/>
    <col min="504" max="504" width="35.125" style="0" customWidth="1"/>
    <col min="505" max="505" width="39.625" style="0" customWidth="1"/>
    <col min="750" max="750" width="6.625" style="0" customWidth="1"/>
    <col min="751" max="751" width="24.00390625" style="0" customWidth="1"/>
    <col min="752" max="753" width="9.75390625" style="0" customWidth="1"/>
    <col min="754" max="754" width="9.375" style="0" customWidth="1"/>
    <col min="755" max="755" width="11.75390625" style="0" customWidth="1"/>
    <col min="756" max="756" width="10.75390625" style="0" customWidth="1"/>
    <col min="757" max="757" width="11.375" style="0" customWidth="1"/>
    <col min="758" max="758" width="12.00390625" style="0" customWidth="1"/>
    <col min="759" max="759" width="31.75390625" style="0" customWidth="1"/>
    <col min="760" max="760" width="35.125" style="0" customWidth="1"/>
    <col min="761" max="761" width="39.625" style="0" customWidth="1"/>
    <col min="1006" max="1006" width="6.625" style="0" customWidth="1"/>
    <col min="1007" max="1007" width="24.00390625" style="0" customWidth="1"/>
    <col min="1008" max="1009" width="9.75390625" style="0" customWidth="1"/>
    <col min="1010" max="1010" width="9.375" style="0" customWidth="1"/>
    <col min="1011" max="1011" width="11.75390625" style="0" customWidth="1"/>
    <col min="1012" max="1012" width="10.75390625" style="0" customWidth="1"/>
    <col min="1013" max="1013" width="11.375" style="0" customWidth="1"/>
    <col min="1014" max="1014" width="12.00390625" style="0" customWidth="1"/>
    <col min="1015" max="1015" width="31.75390625" style="0" customWidth="1"/>
    <col min="1016" max="1016" width="35.125" style="0" customWidth="1"/>
    <col min="1017" max="1017" width="39.625" style="0" customWidth="1"/>
    <col min="1262" max="1262" width="6.625" style="0" customWidth="1"/>
    <col min="1263" max="1263" width="24.00390625" style="0" customWidth="1"/>
    <col min="1264" max="1265" width="9.75390625" style="0" customWidth="1"/>
    <col min="1266" max="1266" width="9.375" style="0" customWidth="1"/>
    <col min="1267" max="1267" width="11.75390625" style="0" customWidth="1"/>
    <col min="1268" max="1268" width="10.75390625" style="0" customWidth="1"/>
    <col min="1269" max="1269" width="11.375" style="0" customWidth="1"/>
    <col min="1270" max="1270" width="12.00390625" style="0" customWidth="1"/>
    <col min="1271" max="1271" width="31.75390625" style="0" customWidth="1"/>
    <col min="1272" max="1272" width="35.125" style="0" customWidth="1"/>
    <col min="1273" max="1273" width="39.625" style="0" customWidth="1"/>
    <col min="1518" max="1518" width="6.625" style="0" customWidth="1"/>
    <col min="1519" max="1519" width="24.00390625" style="0" customWidth="1"/>
    <col min="1520" max="1521" width="9.75390625" style="0" customWidth="1"/>
    <col min="1522" max="1522" width="9.375" style="0" customWidth="1"/>
    <col min="1523" max="1523" width="11.75390625" style="0" customWidth="1"/>
    <col min="1524" max="1524" width="10.75390625" style="0" customWidth="1"/>
    <col min="1525" max="1525" width="11.375" style="0" customWidth="1"/>
    <col min="1526" max="1526" width="12.00390625" style="0" customWidth="1"/>
    <col min="1527" max="1527" width="31.75390625" style="0" customWidth="1"/>
    <col min="1528" max="1528" width="35.125" style="0" customWidth="1"/>
    <col min="1529" max="1529" width="39.625" style="0" customWidth="1"/>
    <col min="1774" max="1774" width="6.625" style="0" customWidth="1"/>
    <col min="1775" max="1775" width="24.00390625" style="0" customWidth="1"/>
    <col min="1776" max="1777" width="9.75390625" style="0" customWidth="1"/>
    <col min="1778" max="1778" width="9.375" style="0" customWidth="1"/>
    <col min="1779" max="1779" width="11.75390625" style="0" customWidth="1"/>
    <col min="1780" max="1780" width="10.75390625" style="0" customWidth="1"/>
    <col min="1781" max="1781" width="11.375" style="0" customWidth="1"/>
    <col min="1782" max="1782" width="12.00390625" style="0" customWidth="1"/>
    <col min="1783" max="1783" width="31.75390625" style="0" customWidth="1"/>
    <col min="1784" max="1784" width="35.125" style="0" customWidth="1"/>
    <col min="1785" max="1785" width="39.625" style="0" customWidth="1"/>
    <col min="2030" max="2030" width="6.625" style="0" customWidth="1"/>
    <col min="2031" max="2031" width="24.00390625" style="0" customWidth="1"/>
    <col min="2032" max="2033" width="9.75390625" style="0" customWidth="1"/>
    <col min="2034" max="2034" width="9.375" style="0" customWidth="1"/>
    <col min="2035" max="2035" width="11.75390625" style="0" customWidth="1"/>
    <col min="2036" max="2036" width="10.75390625" style="0" customWidth="1"/>
    <col min="2037" max="2037" width="11.375" style="0" customWidth="1"/>
    <col min="2038" max="2038" width="12.00390625" style="0" customWidth="1"/>
    <col min="2039" max="2039" width="31.75390625" style="0" customWidth="1"/>
    <col min="2040" max="2040" width="35.125" style="0" customWidth="1"/>
    <col min="2041" max="2041" width="39.625" style="0" customWidth="1"/>
    <col min="2286" max="2286" width="6.625" style="0" customWidth="1"/>
    <col min="2287" max="2287" width="24.00390625" style="0" customWidth="1"/>
    <col min="2288" max="2289" width="9.75390625" style="0" customWidth="1"/>
    <col min="2290" max="2290" width="9.375" style="0" customWidth="1"/>
    <col min="2291" max="2291" width="11.75390625" style="0" customWidth="1"/>
    <col min="2292" max="2292" width="10.75390625" style="0" customWidth="1"/>
    <col min="2293" max="2293" width="11.375" style="0" customWidth="1"/>
    <col min="2294" max="2294" width="12.00390625" style="0" customWidth="1"/>
    <col min="2295" max="2295" width="31.75390625" style="0" customWidth="1"/>
    <col min="2296" max="2296" width="35.125" style="0" customWidth="1"/>
    <col min="2297" max="2297" width="39.625" style="0" customWidth="1"/>
    <col min="2542" max="2542" width="6.625" style="0" customWidth="1"/>
    <col min="2543" max="2543" width="24.00390625" style="0" customWidth="1"/>
    <col min="2544" max="2545" width="9.75390625" style="0" customWidth="1"/>
    <col min="2546" max="2546" width="9.375" style="0" customWidth="1"/>
    <col min="2547" max="2547" width="11.75390625" style="0" customWidth="1"/>
    <col min="2548" max="2548" width="10.75390625" style="0" customWidth="1"/>
    <col min="2549" max="2549" width="11.375" style="0" customWidth="1"/>
    <col min="2550" max="2550" width="12.00390625" style="0" customWidth="1"/>
    <col min="2551" max="2551" width="31.75390625" style="0" customWidth="1"/>
    <col min="2552" max="2552" width="35.125" style="0" customWidth="1"/>
    <col min="2553" max="2553" width="39.625" style="0" customWidth="1"/>
    <col min="2798" max="2798" width="6.625" style="0" customWidth="1"/>
    <col min="2799" max="2799" width="24.00390625" style="0" customWidth="1"/>
    <col min="2800" max="2801" width="9.75390625" style="0" customWidth="1"/>
    <col min="2802" max="2802" width="9.375" style="0" customWidth="1"/>
    <col min="2803" max="2803" width="11.75390625" style="0" customWidth="1"/>
    <col min="2804" max="2804" width="10.75390625" style="0" customWidth="1"/>
    <col min="2805" max="2805" width="11.375" style="0" customWidth="1"/>
    <col min="2806" max="2806" width="12.00390625" style="0" customWidth="1"/>
    <col min="2807" max="2807" width="31.75390625" style="0" customWidth="1"/>
    <col min="2808" max="2808" width="35.125" style="0" customWidth="1"/>
    <col min="2809" max="2809" width="39.625" style="0" customWidth="1"/>
    <col min="3054" max="3054" width="6.625" style="0" customWidth="1"/>
    <col min="3055" max="3055" width="24.00390625" style="0" customWidth="1"/>
    <col min="3056" max="3057" width="9.75390625" style="0" customWidth="1"/>
    <col min="3058" max="3058" width="9.375" style="0" customWidth="1"/>
    <col min="3059" max="3059" width="11.75390625" style="0" customWidth="1"/>
    <col min="3060" max="3060" width="10.75390625" style="0" customWidth="1"/>
    <col min="3061" max="3061" width="11.375" style="0" customWidth="1"/>
    <col min="3062" max="3062" width="12.00390625" style="0" customWidth="1"/>
    <col min="3063" max="3063" width="31.75390625" style="0" customWidth="1"/>
    <col min="3064" max="3064" width="35.125" style="0" customWidth="1"/>
    <col min="3065" max="3065" width="39.625" style="0" customWidth="1"/>
    <col min="3310" max="3310" width="6.625" style="0" customWidth="1"/>
    <col min="3311" max="3311" width="24.00390625" style="0" customWidth="1"/>
    <col min="3312" max="3313" width="9.75390625" style="0" customWidth="1"/>
    <col min="3314" max="3314" width="9.375" style="0" customWidth="1"/>
    <col min="3315" max="3315" width="11.75390625" style="0" customWidth="1"/>
    <col min="3316" max="3316" width="10.75390625" style="0" customWidth="1"/>
    <col min="3317" max="3317" width="11.375" style="0" customWidth="1"/>
    <col min="3318" max="3318" width="12.00390625" style="0" customWidth="1"/>
    <col min="3319" max="3319" width="31.75390625" style="0" customWidth="1"/>
    <col min="3320" max="3320" width="35.125" style="0" customWidth="1"/>
    <col min="3321" max="3321" width="39.625" style="0" customWidth="1"/>
    <col min="3566" max="3566" width="6.625" style="0" customWidth="1"/>
    <col min="3567" max="3567" width="24.00390625" style="0" customWidth="1"/>
    <col min="3568" max="3569" width="9.75390625" style="0" customWidth="1"/>
    <col min="3570" max="3570" width="9.375" style="0" customWidth="1"/>
    <col min="3571" max="3571" width="11.75390625" style="0" customWidth="1"/>
    <col min="3572" max="3572" width="10.75390625" style="0" customWidth="1"/>
    <col min="3573" max="3573" width="11.375" style="0" customWidth="1"/>
    <col min="3574" max="3574" width="12.00390625" style="0" customWidth="1"/>
    <col min="3575" max="3575" width="31.75390625" style="0" customWidth="1"/>
    <col min="3576" max="3576" width="35.125" style="0" customWidth="1"/>
    <col min="3577" max="3577" width="39.625" style="0" customWidth="1"/>
    <col min="3822" max="3822" width="6.625" style="0" customWidth="1"/>
    <col min="3823" max="3823" width="24.00390625" style="0" customWidth="1"/>
    <col min="3824" max="3825" width="9.75390625" style="0" customWidth="1"/>
    <col min="3826" max="3826" width="9.375" style="0" customWidth="1"/>
    <col min="3827" max="3827" width="11.75390625" style="0" customWidth="1"/>
    <col min="3828" max="3828" width="10.75390625" style="0" customWidth="1"/>
    <col min="3829" max="3829" width="11.375" style="0" customWidth="1"/>
    <col min="3830" max="3830" width="12.00390625" style="0" customWidth="1"/>
    <col min="3831" max="3831" width="31.75390625" style="0" customWidth="1"/>
    <col min="3832" max="3832" width="35.125" style="0" customWidth="1"/>
    <col min="3833" max="3833" width="39.625" style="0" customWidth="1"/>
    <col min="4078" max="4078" width="6.625" style="0" customWidth="1"/>
    <col min="4079" max="4079" width="24.00390625" style="0" customWidth="1"/>
    <col min="4080" max="4081" width="9.75390625" style="0" customWidth="1"/>
    <col min="4082" max="4082" width="9.375" style="0" customWidth="1"/>
    <col min="4083" max="4083" width="11.75390625" style="0" customWidth="1"/>
    <col min="4084" max="4084" width="10.75390625" style="0" customWidth="1"/>
    <col min="4085" max="4085" width="11.375" style="0" customWidth="1"/>
    <col min="4086" max="4086" width="12.00390625" style="0" customWidth="1"/>
    <col min="4087" max="4087" width="31.75390625" style="0" customWidth="1"/>
    <col min="4088" max="4088" width="35.125" style="0" customWidth="1"/>
    <col min="4089" max="4089" width="39.625" style="0" customWidth="1"/>
    <col min="4334" max="4334" width="6.625" style="0" customWidth="1"/>
    <col min="4335" max="4335" width="24.00390625" style="0" customWidth="1"/>
    <col min="4336" max="4337" width="9.75390625" style="0" customWidth="1"/>
    <col min="4338" max="4338" width="9.375" style="0" customWidth="1"/>
    <col min="4339" max="4339" width="11.75390625" style="0" customWidth="1"/>
    <col min="4340" max="4340" width="10.75390625" style="0" customWidth="1"/>
    <col min="4341" max="4341" width="11.375" style="0" customWidth="1"/>
    <col min="4342" max="4342" width="12.00390625" style="0" customWidth="1"/>
    <col min="4343" max="4343" width="31.75390625" style="0" customWidth="1"/>
    <col min="4344" max="4344" width="35.125" style="0" customWidth="1"/>
    <col min="4345" max="4345" width="39.625" style="0" customWidth="1"/>
    <col min="4590" max="4590" width="6.625" style="0" customWidth="1"/>
    <col min="4591" max="4591" width="24.00390625" style="0" customWidth="1"/>
    <col min="4592" max="4593" width="9.75390625" style="0" customWidth="1"/>
    <col min="4594" max="4594" width="9.375" style="0" customWidth="1"/>
    <col min="4595" max="4595" width="11.75390625" style="0" customWidth="1"/>
    <col min="4596" max="4596" width="10.75390625" style="0" customWidth="1"/>
    <col min="4597" max="4597" width="11.375" style="0" customWidth="1"/>
    <col min="4598" max="4598" width="12.00390625" style="0" customWidth="1"/>
    <col min="4599" max="4599" width="31.75390625" style="0" customWidth="1"/>
    <col min="4600" max="4600" width="35.125" style="0" customWidth="1"/>
    <col min="4601" max="4601" width="39.625" style="0" customWidth="1"/>
    <col min="4846" max="4846" width="6.625" style="0" customWidth="1"/>
    <col min="4847" max="4847" width="24.00390625" style="0" customWidth="1"/>
    <col min="4848" max="4849" width="9.75390625" style="0" customWidth="1"/>
    <col min="4850" max="4850" width="9.375" style="0" customWidth="1"/>
    <col min="4851" max="4851" width="11.75390625" style="0" customWidth="1"/>
    <col min="4852" max="4852" width="10.75390625" style="0" customWidth="1"/>
    <col min="4853" max="4853" width="11.375" style="0" customWidth="1"/>
    <col min="4854" max="4854" width="12.00390625" style="0" customWidth="1"/>
    <col min="4855" max="4855" width="31.75390625" style="0" customWidth="1"/>
    <col min="4856" max="4856" width="35.125" style="0" customWidth="1"/>
    <col min="4857" max="4857" width="39.625" style="0" customWidth="1"/>
    <col min="5102" max="5102" width="6.625" style="0" customWidth="1"/>
    <col min="5103" max="5103" width="24.00390625" style="0" customWidth="1"/>
    <col min="5104" max="5105" width="9.75390625" style="0" customWidth="1"/>
    <col min="5106" max="5106" width="9.375" style="0" customWidth="1"/>
    <col min="5107" max="5107" width="11.75390625" style="0" customWidth="1"/>
    <col min="5108" max="5108" width="10.75390625" style="0" customWidth="1"/>
    <col min="5109" max="5109" width="11.375" style="0" customWidth="1"/>
    <col min="5110" max="5110" width="12.00390625" style="0" customWidth="1"/>
    <col min="5111" max="5111" width="31.75390625" style="0" customWidth="1"/>
    <col min="5112" max="5112" width="35.125" style="0" customWidth="1"/>
    <col min="5113" max="5113" width="39.625" style="0" customWidth="1"/>
    <col min="5358" max="5358" width="6.625" style="0" customWidth="1"/>
    <col min="5359" max="5359" width="24.00390625" style="0" customWidth="1"/>
    <col min="5360" max="5361" width="9.75390625" style="0" customWidth="1"/>
    <col min="5362" max="5362" width="9.375" style="0" customWidth="1"/>
    <col min="5363" max="5363" width="11.75390625" style="0" customWidth="1"/>
    <col min="5364" max="5364" width="10.75390625" style="0" customWidth="1"/>
    <col min="5365" max="5365" width="11.375" style="0" customWidth="1"/>
    <col min="5366" max="5366" width="12.00390625" style="0" customWidth="1"/>
    <col min="5367" max="5367" width="31.75390625" style="0" customWidth="1"/>
    <col min="5368" max="5368" width="35.125" style="0" customWidth="1"/>
    <col min="5369" max="5369" width="39.625" style="0" customWidth="1"/>
    <col min="5614" max="5614" width="6.625" style="0" customWidth="1"/>
    <col min="5615" max="5615" width="24.00390625" style="0" customWidth="1"/>
    <col min="5616" max="5617" width="9.75390625" style="0" customWidth="1"/>
    <col min="5618" max="5618" width="9.375" style="0" customWidth="1"/>
    <col min="5619" max="5619" width="11.75390625" style="0" customWidth="1"/>
    <col min="5620" max="5620" width="10.75390625" style="0" customWidth="1"/>
    <col min="5621" max="5621" width="11.375" style="0" customWidth="1"/>
    <col min="5622" max="5622" width="12.00390625" style="0" customWidth="1"/>
    <col min="5623" max="5623" width="31.75390625" style="0" customWidth="1"/>
    <col min="5624" max="5624" width="35.125" style="0" customWidth="1"/>
    <col min="5625" max="5625" width="39.625" style="0" customWidth="1"/>
    <col min="5870" max="5870" width="6.625" style="0" customWidth="1"/>
    <col min="5871" max="5871" width="24.00390625" style="0" customWidth="1"/>
    <col min="5872" max="5873" width="9.75390625" style="0" customWidth="1"/>
    <col min="5874" max="5874" width="9.375" style="0" customWidth="1"/>
    <col min="5875" max="5875" width="11.75390625" style="0" customWidth="1"/>
    <col min="5876" max="5876" width="10.75390625" style="0" customWidth="1"/>
    <col min="5877" max="5877" width="11.375" style="0" customWidth="1"/>
    <col min="5878" max="5878" width="12.00390625" style="0" customWidth="1"/>
    <col min="5879" max="5879" width="31.75390625" style="0" customWidth="1"/>
    <col min="5880" max="5880" width="35.125" style="0" customWidth="1"/>
    <col min="5881" max="5881" width="39.625" style="0" customWidth="1"/>
    <col min="6126" max="6126" width="6.625" style="0" customWidth="1"/>
    <col min="6127" max="6127" width="24.00390625" style="0" customWidth="1"/>
    <col min="6128" max="6129" width="9.75390625" style="0" customWidth="1"/>
    <col min="6130" max="6130" width="9.375" style="0" customWidth="1"/>
    <col min="6131" max="6131" width="11.75390625" style="0" customWidth="1"/>
    <col min="6132" max="6132" width="10.75390625" style="0" customWidth="1"/>
    <col min="6133" max="6133" width="11.375" style="0" customWidth="1"/>
    <col min="6134" max="6134" width="12.00390625" style="0" customWidth="1"/>
    <col min="6135" max="6135" width="31.75390625" style="0" customWidth="1"/>
    <col min="6136" max="6136" width="35.125" style="0" customWidth="1"/>
    <col min="6137" max="6137" width="39.625" style="0" customWidth="1"/>
    <col min="6382" max="6382" width="6.625" style="0" customWidth="1"/>
    <col min="6383" max="6383" width="24.00390625" style="0" customWidth="1"/>
    <col min="6384" max="6385" width="9.75390625" style="0" customWidth="1"/>
    <col min="6386" max="6386" width="9.375" style="0" customWidth="1"/>
    <col min="6387" max="6387" width="11.75390625" style="0" customWidth="1"/>
    <col min="6388" max="6388" width="10.75390625" style="0" customWidth="1"/>
    <col min="6389" max="6389" width="11.375" style="0" customWidth="1"/>
    <col min="6390" max="6390" width="12.00390625" style="0" customWidth="1"/>
    <col min="6391" max="6391" width="31.75390625" style="0" customWidth="1"/>
    <col min="6392" max="6392" width="35.125" style="0" customWidth="1"/>
    <col min="6393" max="6393" width="39.625" style="0" customWidth="1"/>
    <col min="6638" max="6638" width="6.625" style="0" customWidth="1"/>
    <col min="6639" max="6639" width="24.00390625" style="0" customWidth="1"/>
    <col min="6640" max="6641" width="9.75390625" style="0" customWidth="1"/>
    <col min="6642" max="6642" width="9.375" style="0" customWidth="1"/>
    <col min="6643" max="6643" width="11.75390625" style="0" customWidth="1"/>
    <col min="6644" max="6644" width="10.75390625" style="0" customWidth="1"/>
    <col min="6645" max="6645" width="11.375" style="0" customWidth="1"/>
    <col min="6646" max="6646" width="12.00390625" style="0" customWidth="1"/>
    <col min="6647" max="6647" width="31.75390625" style="0" customWidth="1"/>
    <col min="6648" max="6648" width="35.125" style="0" customWidth="1"/>
    <col min="6649" max="6649" width="39.625" style="0" customWidth="1"/>
    <col min="6894" max="6894" width="6.625" style="0" customWidth="1"/>
    <col min="6895" max="6895" width="24.00390625" style="0" customWidth="1"/>
    <col min="6896" max="6897" width="9.75390625" style="0" customWidth="1"/>
    <col min="6898" max="6898" width="9.375" style="0" customWidth="1"/>
    <col min="6899" max="6899" width="11.75390625" style="0" customWidth="1"/>
    <col min="6900" max="6900" width="10.75390625" style="0" customWidth="1"/>
    <col min="6901" max="6901" width="11.375" style="0" customWidth="1"/>
    <col min="6902" max="6902" width="12.00390625" style="0" customWidth="1"/>
    <col min="6903" max="6903" width="31.75390625" style="0" customWidth="1"/>
    <col min="6904" max="6904" width="35.125" style="0" customWidth="1"/>
    <col min="6905" max="6905" width="39.625" style="0" customWidth="1"/>
    <col min="7150" max="7150" width="6.625" style="0" customWidth="1"/>
    <col min="7151" max="7151" width="24.00390625" style="0" customWidth="1"/>
    <col min="7152" max="7153" width="9.75390625" style="0" customWidth="1"/>
    <col min="7154" max="7154" width="9.375" style="0" customWidth="1"/>
    <col min="7155" max="7155" width="11.75390625" style="0" customWidth="1"/>
    <col min="7156" max="7156" width="10.75390625" style="0" customWidth="1"/>
    <col min="7157" max="7157" width="11.375" style="0" customWidth="1"/>
    <col min="7158" max="7158" width="12.00390625" style="0" customWidth="1"/>
    <col min="7159" max="7159" width="31.75390625" style="0" customWidth="1"/>
    <col min="7160" max="7160" width="35.125" style="0" customWidth="1"/>
    <col min="7161" max="7161" width="39.625" style="0" customWidth="1"/>
    <col min="7406" max="7406" width="6.625" style="0" customWidth="1"/>
    <col min="7407" max="7407" width="24.00390625" style="0" customWidth="1"/>
    <col min="7408" max="7409" width="9.75390625" style="0" customWidth="1"/>
    <col min="7410" max="7410" width="9.375" style="0" customWidth="1"/>
    <col min="7411" max="7411" width="11.75390625" style="0" customWidth="1"/>
    <col min="7412" max="7412" width="10.75390625" style="0" customWidth="1"/>
    <col min="7413" max="7413" width="11.375" style="0" customWidth="1"/>
    <col min="7414" max="7414" width="12.00390625" style="0" customWidth="1"/>
    <col min="7415" max="7415" width="31.75390625" style="0" customWidth="1"/>
    <col min="7416" max="7416" width="35.125" style="0" customWidth="1"/>
    <col min="7417" max="7417" width="39.625" style="0" customWidth="1"/>
    <col min="7662" max="7662" width="6.625" style="0" customWidth="1"/>
    <col min="7663" max="7663" width="24.00390625" style="0" customWidth="1"/>
    <col min="7664" max="7665" width="9.75390625" style="0" customWidth="1"/>
    <col min="7666" max="7666" width="9.375" style="0" customWidth="1"/>
    <col min="7667" max="7667" width="11.75390625" style="0" customWidth="1"/>
    <col min="7668" max="7668" width="10.75390625" style="0" customWidth="1"/>
    <col min="7669" max="7669" width="11.375" style="0" customWidth="1"/>
    <col min="7670" max="7670" width="12.00390625" style="0" customWidth="1"/>
    <col min="7671" max="7671" width="31.75390625" style="0" customWidth="1"/>
    <col min="7672" max="7672" width="35.125" style="0" customWidth="1"/>
    <col min="7673" max="7673" width="39.625" style="0" customWidth="1"/>
    <col min="7918" max="7918" width="6.625" style="0" customWidth="1"/>
    <col min="7919" max="7919" width="24.00390625" style="0" customWidth="1"/>
    <col min="7920" max="7921" width="9.75390625" style="0" customWidth="1"/>
    <col min="7922" max="7922" width="9.375" style="0" customWidth="1"/>
    <col min="7923" max="7923" width="11.75390625" style="0" customWidth="1"/>
    <col min="7924" max="7924" width="10.75390625" style="0" customWidth="1"/>
    <col min="7925" max="7925" width="11.375" style="0" customWidth="1"/>
    <col min="7926" max="7926" width="12.00390625" style="0" customWidth="1"/>
    <col min="7927" max="7927" width="31.75390625" style="0" customWidth="1"/>
    <col min="7928" max="7928" width="35.125" style="0" customWidth="1"/>
    <col min="7929" max="7929" width="39.625" style="0" customWidth="1"/>
    <col min="8174" max="8174" width="6.625" style="0" customWidth="1"/>
    <col min="8175" max="8175" width="24.00390625" style="0" customWidth="1"/>
    <col min="8176" max="8177" width="9.75390625" style="0" customWidth="1"/>
    <col min="8178" max="8178" width="9.375" style="0" customWidth="1"/>
    <col min="8179" max="8179" width="11.75390625" style="0" customWidth="1"/>
    <col min="8180" max="8180" width="10.75390625" style="0" customWidth="1"/>
    <col min="8181" max="8181" width="11.375" style="0" customWidth="1"/>
    <col min="8182" max="8182" width="12.00390625" style="0" customWidth="1"/>
    <col min="8183" max="8183" width="31.75390625" style="0" customWidth="1"/>
    <col min="8184" max="8184" width="35.125" style="0" customWidth="1"/>
    <col min="8185" max="8185" width="39.625" style="0" customWidth="1"/>
    <col min="8430" max="8430" width="6.625" style="0" customWidth="1"/>
    <col min="8431" max="8431" width="24.00390625" style="0" customWidth="1"/>
    <col min="8432" max="8433" width="9.75390625" style="0" customWidth="1"/>
    <col min="8434" max="8434" width="9.375" style="0" customWidth="1"/>
    <col min="8435" max="8435" width="11.75390625" style="0" customWidth="1"/>
    <col min="8436" max="8436" width="10.75390625" style="0" customWidth="1"/>
    <col min="8437" max="8437" width="11.375" style="0" customWidth="1"/>
    <col min="8438" max="8438" width="12.00390625" style="0" customWidth="1"/>
    <col min="8439" max="8439" width="31.75390625" style="0" customWidth="1"/>
    <col min="8440" max="8440" width="35.125" style="0" customWidth="1"/>
    <col min="8441" max="8441" width="39.625" style="0" customWidth="1"/>
    <col min="8686" max="8686" width="6.625" style="0" customWidth="1"/>
    <col min="8687" max="8687" width="24.00390625" style="0" customWidth="1"/>
    <col min="8688" max="8689" width="9.75390625" style="0" customWidth="1"/>
    <col min="8690" max="8690" width="9.375" style="0" customWidth="1"/>
    <col min="8691" max="8691" width="11.75390625" style="0" customWidth="1"/>
    <col min="8692" max="8692" width="10.75390625" style="0" customWidth="1"/>
    <col min="8693" max="8693" width="11.375" style="0" customWidth="1"/>
    <col min="8694" max="8694" width="12.00390625" style="0" customWidth="1"/>
    <col min="8695" max="8695" width="31.75390625" style="0" customWidth="1"/>
    <col min="8696" max="8696" width="35.125" style="0" customWidth="1"/>
    <col min="8697" max="8697" width="39.625" style="0" customWidth="1"/>
    <col min="8942" max="8942" width="6.625" style="0" customWidth="1"/>
    <col min="8943" max="8943" width="24.00390625" style="0" customWidth="1"/>
    <col min="8944" max="8945" width="9.75390625" style="0" customWidth="1"/>
    <col min="8946" max="8946" width="9.375" style="0" customWidth="1"/>
    <col min="8947" max="8947" width="11.75390625" style="0" customWidth="1"/>
    <col min="8948" max="8948" width="10.75390625" style="0" customWidth="1"/>
    <col min="8949" max="8949" width="11.375" style="0" customWidth="1"/>
    <col min="8950" max="8950" width="12.00390625" style="0" customWidth="1"/>
    <col min="8951" max="8951" width="31.75390625" style="0" customWidth="1"/>
    <col min="8952" max="8952" width="35.125" style="0" customWidth="1"/>
    <col min="8953" max="8953" width="39.625" style="0" customWidth="1"/>
    <col min="9198" max="9198" width="6.625" style="0" customWidth="1"/>
    <col min="9199" max="9199" width="24.00390625" style="0" customWidth="1"/>
    <col min="9200" max="9201" width="9.75390625" style="0" customWidth="1"/>
    <col min="9202" max="9202" width="9.375" style="0" customWidth="1"/>
    <col min="9203" max="9203" width="11.75390625" style="0" customWidth="1"/>
    <col min="9204" max="9204" width="10.75390625" style="0" customWidth="1"/>
    <col min="9205" max="9205" width="11.375" style="0" customWidth="1"/>
    <col min="9206" max="9206" width="12.00390625" style="0" customWidth="1"/>
    <col min="9207" max="9207" width="31.75390625" style="0" customWidth="1"/>
    <col min="9208" max="9208" width="35.125" style="0" customWidth="1"/>
    <col min="9209" max="9209" width="39.625" style="0" customWidth="1"/>
    <col min="9454" max="9454" width="6.625" style="0" customWidth="1"/>
    <col min="9455" max="9455" width="24.00390625" style="0" customWidth="1"/>
    <col min="9456" max="9457" width="9.75390625" style="0" customWidth="1"/>
    <col min="9458" max="9458" width="9.375" style="0" customWidth="1"/>
    <col min="9459" max="9459" width="11.75390625" style="0" customWidth="1"/>
    <col min="9460" max="9460" width="10.75390625" style="0" customWidth="1"/>
    <col min="9461" max="9461" width="11.375" style="0" customWidth="1"/>
    <col min="9462" max="9462" width="12.00390625" style="0" customWidth="1"/>
    <col min="9463" max="9463" width="31.75390625" style="0" customWidth="1"/>
    <col min="9464" max="9464" width="35.125" style="0" customWidth="1"/>
    <col min="9465" max="9465" width="39.625" style="0" customWidth="1"/>
    <col min="9710" max="9710" width="6.625" style="0" customWidth="1"/>
    <col min="9711" max="9711" width="24.00390625" style="0" customWidth="1"/>
    <col min="9712" max="9713" width="9.75390625" style="0" customWidth="1"/>
    <col min="9714" max="9714" width="9.375" style="0" customWidth="1"/>
    <col min="9715" max="9715" width="11.75390625" style="0" customWidth="1"/>
    <col min="9716" max="9716" width="10.75390625" style="0" customWidth="1"/>
    <col min="9717" max="9717" width="11.375" style="0" customWidth="1"/>
    <col min="9718" max="9718" width="12.00390625" style="0" customWidth="1"/>
    <col min="9719" max="9719" width="31.75390625" style="0" customWidth="1"/>
    <col min="9720" max="9720" width="35.125" style="0" customWidth="1"/>
    <col min="9721" max="9721" width="39.625" style="0" customWidth="1"/>
    <col min="9966" max="9966" width="6.625" style="0" customWidth="1"/>
    <col min="9967" max="9967" width="24.00390625" style="0" customWidth="1"/>
    <col min="9968" max="9969" width="9.75390625" style="0" customWidth="1"/>
    <col min="9970" max="9970" width="9.375" style="0" customWidth="1"/>
    <col min="9971" max="9971" width="11.75390625" style="0" customWidth="1"/>
    <col min="9972" max="9972" width="10.75390625" style="0" customWidth="1"/>
    <col min="9973" max="9973" width="11.375" style="0" customWidth="1"/>
    <col min="9974" max="9974" width="12.00390625" style="0" customWidth="1"/>
    <col min="9975" max="9975" width="31.75390625" style="0" customWidth="1"/>
    <col min="9976" max="9976" width="35.125" style="0" customWidth="1"/>
    <col min="9977" max="9977" width="39.625" style="0" customWidth="1"/>
    <col min="10222" max="10222" width="6.625" style="0" customWidth="1"/>
    <col min="10223" max="10223" width="24.00390625" style="0" customWidth="1"/>
    <col min="10224" max="10225" width="9.75390625" style="0" customWidth="1"/>
    <col min="10226" max="10226" width="9.375" style="0" customWidth="1"/>
    <col min="10227" max="10227" width="11.75390625" style="0" customWidth="1"/>
    <col min="10228" max="10228" width="10.75390625" style="0" customWidth="1"/>
    <col min="10229" max="10229" width="11.375" style="0" customWidth="1"/>
    <col min="10230" max="10230" width="12.00390625" style="0" customWidth="1"/>
    <col min="10231" max="10231" width="31.75390625" style="0" customWidth="1"/>
    <col min="10232" max="10232" width="35.125" style="0" customWidth="1"/>
    <col min="10233" max="10233" width="39.625" style="0" customWidth="1"/>
    <col min="10478" max="10478" width="6.625" style="0" customWidth="1"/>
    <col min="10479" max="10479" width="24.00390625" style="0" customWidth="1"/>
    <col min="10480" max="10481" width="9.75390625" style="0" customWidth="1"/>
    <col min="10482" max="10482" width="9.375" style="0" customWidth="1"/>
    <col min="10483" max="10483" width="11.75390625" style="0" customWidth="1"/>
    <col min="10484" max="10484" width="10.75390625" style="0" customWidth="1"/>
    <col min="10485" max="10485" width="11.375" style="0" customWidth="1"/>
    <col min="10486" max="10486" width="12.00390625" style="0" customWidth="1"/>
    <col min="10487" max="10487" width="31.75390625" style="0" customWidth="1"/>
    <col min="10488" max="10488" width="35.125" style="0" customWidth="1"/>
    <col min="10489" max="10489" width="39.625" style="0" customWidth="1"/>
    <col min="10734" max="10734" width="6.625" style="0" customWidth="1"/>
    <col min="10735" max="10735" width="24.00390625" style="0" customWidth="1"/>
    <col min="10736" max="10737" width="9.75390625" style="0" customWidth="1"/>
    <col min="10738" max="10738" width="9.375" style="0" customWidth="1"/>
    <col min="10739" max="10739" width="11.75390625" style="0" customWidth="1"/>
    <col min="10740" max="10740" width="10.75390625" style="0" customWidth="1"/>
    <col min="10741" max="10741" width="11.375" style="0" customWidth="1"/>
    <col min="10742" max="10742" width="12.00390625" style="0" customWidth="1"/>
    <col min="10743" max="10743" width="31.75390625" style="0" customWidth="1"/>
    <col min="10744" max="10744" width="35.125" style="0" customWidth="1"/>
    <col min="10745" max="10745" width="39.625" style="0" customWidth="1"/>
    <col min="10990" max="10990" width="6.625" style="0" customWidth="1"/>
    <col min="10991" max="10991" width="24.00390625" style="0" customWidth="1"/>
    <col min="10992" max="10993" width="9.75390625" style="0" customWidth="1"/>
    <col min="10994" max="10994" width="9.375" style="0" customWidth="1"/>
    <col min="10995" max="10995" width="11.75390625" style="0" customWidth="1"/>
    <col min="10996" max="10996" width="10.75390625" style="0" customWidth="1"/>
    <col min="10997" max="10997" width="11.375" style="0" customWidth="1"/>
    <col min="10998" max="10998" width="12.00390625" style="0" customWidth="1"/>
    <col min="10999" max="10999" width="31.75390625" style="0" customWidth="1"/>
    <col min="11000" max="11000" width="35.125" style="0" customWidth="1"/>
    <col min="11001" max="11001" width="39.625" style="0" customWidth="1"/>
    <col min="11246" max="11246" width="6.625" style="0" customWidth="1"/>
    <col min="11247" max="11247" width="24.00390625" style="0" customWidth="1"/>
    <col min="11248" max="11249" width="9.75390625" style="0" customWidth="1"/>
    <col min="11250" max="11250" width="9.375" style="0" customWidth="1"/>
    <col min="11251" max="11251" width="11.75390625" style="0" customWidth="1"/>
    <col min="11252" max="11252" width="10.75390625" style="0" customWidth="1"/>
    <col min="11253" max="11253" width="11.375" style="0" customWidth="1"/>
    <col min="11254" max="11254" width="12.00390625" style="0" customWidth="1"/>
    <col min="11255" max="11255" width="31.75390625" style="0" customWidth="1"/>
    <col min="11256" max="11256" width="35.125" style="0" customWidth="1"/>
    <col min="11257" max="11257" width="39.625" style="0" customWidth="1"/>
    <col min="11502" max="11502" width="6.625" style="0" customWidth="1"/>
    <col min="11503" max="11503" width="24.00390625" style="0" customWidth="1"/>
    <col min="11504" max="11505" width="9.75390625" style="0" customWidth="1"/>
    <col min="11506" max="11506" width="9.375" style="0" customWidth="1"/>
    <col min="11507" max="11507" width="11.75390625" style="0" customWidth="1"/>
    <col min="11508" max="11508" width="10.75390625" style="0" customWidth="1"/>
    <col min="11509" max="11509" width="11.375" style="0" customWidth="1"/>
    <col min="11510" max="11510" width="12.00390625" style="0" customWidth="1"/>
    <col min="11511" max="11511" width="31.75390625" style="0" customWidth="1"/>
    <col min="11512" max="11512" width="35.125" style="0" customWidth="1"/>
    <col min="11513" max="11513" width="39.625" style="0" customWidth="1"/>
    <col min="11758" max="11758" width="6.625" style="0" customWidth="1"/>
    <col min="11759" max="11759" width="24.00390625" style="0" customWidth="1"/>
    <col min="11760" max="11761" width="9.75390625" style="0" customWidth="1"/>
    <col min="11762" max="11762" width="9.375" style="0" customWidth="1"/>
    <col min="11763" max="11763" width="11.75390625" style="0" customWidth="1"/>
    <col min="11764" max="11764" width="10.75390625" style="0" customWidth="1"/>
    <col min="11765" max="11765" width="11.375" style="0" customWidth="1"/>
    <col min="11766" max="11766" width="12.00390625" style="0" customWidth="1"/>
    <col min="11767" max="11767" width="31.75390625" style="0" customWidth="1"/>
    <col min="11768" max="11768" width="35.125" style="0" customWidth="1"/>
    <col min="11769" max="11769" width="39.625" style="0" customWidth="1"/>
    <col min="12014" max="12014" width="6.625" style="0" customWidth="1"/>
    <col min="12015" max="12015" width="24.00390625" style="0" customWidth="1"/>
    <col min="12016" max="12017" width="9.75390625" style="0" customWidth="1"/>
    <col min="12018" max="12018" width="9.375" style="0" customWidth="1"/>
    <col min="12019" max="12019" width="11.75390625" style="0" customWidth="1"/>
    <col min="12020" max="12020" width="10.75390625" style="0" customWidth="1"/>
    <col min="12021" max="12021" width="11.375" style="0" customWidth="1"/>
    <col min="12022" max="12022" width="12.00390625" style="0" customWidth="1"/>
    <col min="12023" max="12023" width="31.75390625" style="0" customWidth="1"/>
    <col min="12024" max="12024" width="35.125" style="0" customWidth="1"/>
    <col min="12025" max="12025" width="39.625" style="0" customWidth="1"/>
    <col min="12270" max="12270" width="6.625" style="0" customWidth="1"/>
    <col min="12271" max="12271" width="24.00390625" style="0" customWidth="1"/>
    <col min="12272" max="12273" width="9.75390625" style="0" customWidth="1"/>
    <col min="12274" max="12274" width="9.375" style="0" customWidth="1"/>
    <col min="12275" max="12275" width="11.75390625" style="0" customWidth="1"/>
    <col min="12276" max="12276" width="10.75390625" style="0" customWidth="1"/>
    <col min="12277" max="12277" width="11.375" style="0" customWidth="1"/>
    <col min="12278" max="12278" width="12.00390625" style="0" customWidth="1"/>
    <col min="12279" max="12279" width="31.75390625" style="0" customWidth="1"/>
    <col min="12280" max="12280" width="35.125" style="0" customWidth="1"/>
    <col min="12281" max="12281" width="39.625" style="0" customWidth="1"/>
    <col min="12526" max="12526" width="6.625" style="0" customWidth="1"/>
    <col min="12527" max="12527" width="24.00390625" style="0" customWidth="1"/>
    <col min="12528" max="12529" width="9.75390625" style="0" customWidth="1"/>
    <col min="12530" max="12530" width="9.375" style="0" customWidth="1"/>
    <col min="12531" max="12531" width="11.75390625" style="0" customWidth="1"/>
    <col min="12532" max="12532" width="10.75390625" style="0" customWidth="1"/>
    <col min="12533" max="12533" width="11.375" style="0" customWidth="1"/>
    <col min="12534" max="12534" width="12.00390625" style="0" customWidth="1"/>
    <col min="12535" max="12535" width="31.75390625" style="0" customWidth="1"/>
    <col min="12536" max="12536" width="35.125" style="0" customWidth="1"/>
    <col min="12537" max="12537" width="39.625" style="0" customWidth="1"/>
    <col min="12782" max="12782" width="6.625" style="0" customWidth="1"/>
    <col min="12783" max="12783" width="24.00390625" style="0" customWidth="1"/>
    <col min="12784" max="12785" width="9.75390625" style="0" customWidth="1"/>
    <col min="12786" max="12786" width="9.375" style="0" customWidth="1"/>
    <col min="12787" max="12787" width="11.75390625" style="0" customWidth="1"/>
    <col min="12788" max="12788" width="10.75390625" style="0" customWidth="1"/>
    <col min="12789" max="12789" width="11.375" style="0" customWidth="1"/>
    <col min="12790" max="12790" width="12.00390625" style="0" customWidth="1"/>
    <col min="12791" max="12791" width="31.75390625" style="0" customWidth="1"/>
    <col min="12792" max="12792" width="35.125" style="0" customWidth="1"/>
    <col min="12793" max="12793" width="39.625" style="0" customWidth="1"/>
    <col min="13038" max="13038" width="6.625" style="0" customWidth="1"/>
    <col min="13039" max="13039" width="24.00390625" style="0" customWidth="1"/>
    <col min="13040" max="13041" width="9.75390625" style="0" customWidth="1"/>
    <col min="13042" max="13042" width="9.375" style="0" customWidth="1"/>
    <col min="13043" max="13043" width="11.75390625" style="0" customWidth="1"/>
    <col min="13044" max="13044" width="10.75390625" style="0" customWidth="1"/>
    <col min="13045" max="13045" width="11.375" style="0" customWidth="1"/>
    <col min="13046" max="13046" width="12.00390625" style="0" customWidth="1"/>
    <col min="13047" max="13047" width="31.75390625" style="0" customWidth="1"/>
    <col min="13048" max="13048" width="35.125" style="0" customWidth="1"/>
    <col min="13049" max="13049" width="39.625" style="0" customWidth="1"/>
    <col min="13294" max="13294" width="6.625" style="0" customWidth="1"/>
    <col min="13295" max="13295" width="24.00390625" style="0" customWidth="1"/>
    <col min="13296" max="13297" width="9.75390625" style="0" customWidth="1"/>
    <col min="13298" max="13298" width="9.375" style="0" customWidth="1"/>
    <col min="13299" max="13299" width="11.75390625" style="0" customWidth="1"/>
    <col min="13300" max="13300" width="10.75390625" style="0" customWidth="1"/>
    <col min="13301" max="13301" width="11.375" style="0" customWidth="1"/>
    <col min="13302" max="13302" width="12.00390625" style="0" customWidth="1"/>
    <col min="13303" max="13303" width="31.75390625" style="0" customWidth="1"/>
    <col min="13304" max="13304" width="35.125" style="0" customWidth="1"/>
    <col min="13305" max="13305" width="39.625" style="0" customWidth="1"/>
    <col min="13550" max="13550" width="6.625" style="0" customWidth="1"/>
    <col min="13551" max="13551" width="24.00390625" style="0" customWidth="1"/>
    <col min="13552" max="13553" width="9.75390625" style="0" customWidth="1"/>
    <col min="13554" max="13554" width="9.375" style="0" customWidth="1"/>
    <col min="13555" max="13555" width="11.75390625" style="0" customWidth="1"/>
    <col min="13556" max="13556" width="10.75390625" style="0" customWidth="1"/>
    <col min="13557" max="13557" width="11.375" style="0" customWidth="1"/>
    <col min="13558" max="13558" width="12.00390625" style="0" customWidth="1"/>
    <col min="13559" max="13559" width="31.75390625" style="0" customWidth="1"/>
    <col min="13560" max="13560" width="35.125" style="0" customWidth="1"/>
    <col min="13561" max="13561" width="39.625" style="0" customWidth="1"/>
    <col min="13806" max="13806" width="6.625" style="0" customWidth="1"/>
    <col min="13807" max="13807" width="24.00390625" style="0" customWidth="1"/>
    <col min="13808" max="13809" width="9.75390625" style="0" customWidth="1"/>
    <col min="13810" max="13810" width="9.375" style="0" customWidth="1"/>
    <col min="13811" max="13811" width="11.75390625" style="0" customWidth="1"/>
    <col min="13812" max="13812" width="10.75390625" style="0" customWidth="1"/>
    <col min="13813" max="13813" width="11.375" style="0" customWidth="1"/>
    <col min="13814" max="13814" width="12.00390625" style="0" customWidth="1"/>
    <col min="13815" max="13815" width="31.75390625" style="0" customWidth="1"/>
    <col min="13816" max="13816" width="35.125" style="0" customWidth="1"/>
    <col min="13817" max="13817" width="39.625" style="0" customWidth="1"/>
    <col min="14062" max="14062" width="6.625" style="0" customWidth="1"/>
    <col min="14063" max="14063" width="24.00390625" style="0" customWidth="1"/>
    <col min="14064" max="14065" width="9.75390625" style="0" customWidth="1"/>
    <col min="14066" max="14066" width="9.375" style="0" customWidth="1"/>
    <col min="14067" max="14067" width="11.75390625" style="0" customWidth="1"/>
    <col min="14068" max="14068" width="10.75390625" style="0" customWidth="1"/>
    <col min="14069" max="14069" width="11.375" style="0" customWidth="1"/>
    <col min="14070" max="14070" width="12.00390625" style="0" customWidth="1"/>
    <col min="14071" max="14071" width="31.75390625" style="0" customWidth="1"/>
    <col min="14072" max="14072" width="35.125" style="0" customWidth="1"/>
    <col min="14073" max="14073" width="39.625" style="0" customWidth="1"/>
    <col min="14318" max="14318" width="6.625" style="0" customWidth="1"/>
    <col min="14319" max="14319" width="24.00390625" style="0" customWidth="1"/>
    <col min="14320" max="14321" width="9.75390625" style="0" customWidth="1"/>
    <col min="14322" max="14322" width="9.375" style="0" customWidth="1"/>
    <col min="14323" max="14323" width="11.75390625" style="0" customWidth="1"/>
    <col min="14324" max="14324" width="10.75390625" style="0" customWidth="1"/>
    <col min="14325" max="14325" width="11.375" style="0" customWidth="1"/>
    <col min="14326" max="14326" width="12.00390625" style="0" customWidth="1"/>
    <col min="14327" max="14327" width="31.75390625" style="0" customWidth="1"/>
    <col min="14328" max="14328" width="35.125" style="0" customWidth="1"/>
    <col min="14329" max="14329" width="39.625" style="0" customWidth="1"/>
    <col min="14574" max="14574" width="6.625" style="0" customWidth="1"/>
    <col min="14575" max="14575" width="24.00390625" style="0" customWidth="1"/>
    <col min="14576" max="14577" width="9.75390625" style="0" customWidth="1"/>
    <col min="14578" max="14578" width="9.375" style="0" customWidth="1"/>
    <col min="14579" max="14579" width="11.75390625" style="0" customWidth="1"/>
    <col min="14580" max="14580" width="10.75390625" style="0" customWidth="1"/>
    <col min="14581" max="14581" width="11.375" style="0" customWidth="1"/>
    <col min="14582" max="14582" width="12.00390625" style="0" customWidth="1"/>
    <col min="14583" max="14583" width="31.75390625" style="0" customWidth="1"/>
    <col min="14584" max="14584" width="35.125" style="0" customWidth="1"/>
    <col min="14585" max="14585" width="39.625" style="0" customWidth="1"/>
    <col min="14830" max="14830" width="6.625" style="0" customWidth="1"/>
    <col min="14831" max="14831" width="24.00390625" style="0" customWidth="1"/>
    <col min="14832" max="14833" width="9.75390625" style="0" customWidth="1"/>
    <col min="14834" max="14834" width="9.375" style="0" customWidth="1"/>
    <col min="14835" max="14835" width="11.75390625" style="0" customWidth="1"/>
    <col min="14836" max="14836" width="10.75390625" style="0" customWidth="1"/>
    <col min="14837" max="14837" width="11.375" style="0" customWidth="1"/>
    <col min="14838" max="14838" width="12.00390625" style="0" customWidth="1"/>
    <col min="14839" max="14839" width="31.75390625" style="0" customWidth="1"/>
    <col min="14840" max="14840" width="35.125" style="0" customWidth="1"/>
    <col min="14841" max="14841" width="39.625" style="0" customWidth="1"/>
    <col min="15086" max="15086" width="6.625" style="0" customWidth="1"/>
    <col min="15087" max="15087" width="24.00390625" style="0" customWidth="1"/>
    <col min="15088" max="15089" width="9.75390625" style="0" customWidth="1"/>
    <col min="15090" max="15090" width="9.375" style="0" customWidth="1"/>
    <col min="15091" max="15091" width="11.75390625" style="0" customWidth="1"/>
    <col min="15092" max="15092" width="10.75390625" style="0" customWidth="1"/>
    <col min="15093" max="15093" width="11.375" style="0" customWidth="1"/>
    <col min="15094" max="15094" width="12.00390625" style="0" customWidth="1"/>
    <col min="15095" max="15095" width="31.75390625" style="0" customWidth="1"/>
    <col min="15096" max="15096" width="35.125" style="0" customWidth="1"/>
    <col min="15097" max="15097" width="39.625" style="0" customWidth="1"/>
    <col min="15342" max="15342" width="6.625" style="0" customWidth="1"/>
    <col min="15343" max="15343" width="24.00390625" style="0" customWidth="1"/>
    <col min="15344" max="15345" width="9.75390625" style="0" customWidth="1"/>
    <col min="15346" max="15346" width="9.375" style="0" customWidth="1"/>
    <col min="15347" max="15347" width="11.75390625" style="0" customWidth="1"/>
    <col min="15348" max="15348" width="10.75390625" style="0" customWidth="1"/>
    <col min="15349" max="15349" width="11.375" style="0" customWidth="1"/>
    <col min="15350" max="15350" width="12.00390625" style="0" customWidth="1"/>
    <col min="15351" max="15351" width="31.75390625" style="0" customWidth="1"/>
    <col min="15352" max="15352" width="35.125" style="0" customWidth="1"/>
    <col min="15353" max="15353" width="39.625" style="0" customWidth="1"/>
    <col min="15598" max="15598" width="6.625" style="0" customWidth="1"/>
    <col min="15599" max="15599" width="24.00390625" style="0" customWidth="1"/>
    <col min="15600" max="15601" width="9.75390625" style="0" customWidth="1"/>
    <col min="15602" max="15602" width="9.375" style="0" customWidth="1"/>
    <col min="15603" max="15603" width="11.75390625" style="0" customWidth="1"/>
    <col min="15604" max="15604" width="10.75390625" style="0" customWidth="1"/>
    <col min="15605" max="15605" width="11.375" style="0" customWidth="1"/>
    <col min="15606" max="15606" width="12.00390625" style="0" customWidth="1"/>
    <col min="15607" max="15607" width="31.75390625" style="0" customWidth="1"/>
    <col min="15608" max="15608" width="35.125" style="0" customWidth="1"/>
    <col min="15609" max="15609" width="39.625" style="0" customWidth="1"/>
    <col min="15854" max="15854" width="6.625" style="0" customWidth="1"/>
    <col min="15855" max="15855" width="24.00390625" style="0" customWidth="1"/>
    <col min="15856" max="15857" width="9.75390625" style="0" customWidth="1"/>
    <col min="15858" max="15858" width="9.375" style="0" customWidth="1"/>
    <col min="15859" max="15859" width="11.75390625" style="0" customWidth="1"/>
    <col min="15860" max="15860" width="10.75390625" style="0" customWidth="1"/>
    <col min="15861" max="15861" width="11.375" style="0" customWidth="1"/>
    <col min="15862" max="15862" width="12.00390625" style="0" customWidth="1"/>
    <col min="15863" max="15863" width="31.75390625" style="0" customWidth="1"/>
    <col min="15864" max="15864" width="35.125" style="0" customWidth="1"/>
    <col min="15865" max="15865" width="39.625" style="0" customWidth="1"/>
    <col min="16110" max="16110" width="6.625" style="0" customWidth="1"/>
    <col min="16111" max="16111" width="24.00390625" style="0" customWidth="1"/>
    <col min="16112" max="16113" width="9.75390625" style="0" customWidth="1"/>
    <col min="16114" max="16114" width="9.375" style="0" customWidth="1"/>
    <col min="16115" max="16115" width="11.75390625" style="0" customWidth="1"/>
    <col min="16116" max="16116" width="10.75390625" style="0" customWidth="1"/>
    <col min="16117" max="16117" width="11.375" style="0" customWidth="1"/>
    <col min="16118" max="16118" width="12.00390625" style="0" customWidth="1"/>
    <col min="16119" max="16119" width="31.75390625" style="0" customWidth="1"/>
    <col min="16120" max="16120" width="35.125" style="0" customWidth="1"/>
    <col min="16121" max="16121" width="39.625" style="0" customWidth="1"/>
  </cols>
  <sheetData>
    <row r="1" spans="1:10" ht="15" customHeight="1">
      <c r="A1" s="29"/>
      <c r="B1" s="29"/>
      <c r="C1" s="29"/>
      <c r="D1" s="29"/>
      <c r="E1" s="29"/>
      <c r="F1" s="30"/>
      <c r="G1" s="30"/>
      <c r="H1" s="1902" t="s">
        <v>40</v>
      </c>
      <c r="I1" s="1902"/>
      <c r="J1" s="1902"/>
    </row>
    <row r="2" spans="1:10" ht="15" customHeight="1">
      <c r="A2" s="29"/>
      <c r="B2" s="29"/>
      <c r="C2" s="29"/>
      <c r="D2" s="29"/>
      <c r="E2" s="29"/>
      <c r="F2" s="30"/>
      <c r="G2" s="30"/>
      <c r="H2" s="1902" t="s">
        <v>41</v>
      </c>
      <c r="I2" s="1902"/>
      <c r="J2" s="1902"/>
    </row>
    <row r="3" spans="1:10" ht="15" customHeight="1">
      <c r="A3" s="29"/>
      <c r="B3" s="735"/>
      <c r="C3" s="29"/>
      <c r="D3" s="29"/>
      <c r="E3" s="29"/>
      <c r="F3" s="30"/>
      <c r="G3" s="30"/>
      <c r="H3" s="1902" t="s">
        <v>2</v>
      </c>
      <c r="I3" s="1902"/>
      <c r="J3" s="1902"/>
    </row>
    <row r="4" spans="1:10" ht="13.5" customHeight="1">
      <c r="A4" s="29"/>
      <c r="B4" s="734"/>
      <c r="C4" s="29"/>
      <c r="D4" s="29"/>
      <c r="E4" s="29"/>
      <c r="F4" s="30"/>
      <c r="G4" s="30"/>
      <c r="H4" s="1902" t="s">
        <v>42</v>
      </c>
      <c r="I4" s="1902"/>
      <c r="J4" s="1902"/>
    </row>
    <row r="5" spans="1:10" ht="15" customHeight="1" hidden="1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5.75">
      <c r="A6" s="1903" t="s">
        <v>698</v>
      </c>
      <c r="B6" s="1903"/>
      <c r="C6" s="1903"/>
      <c r="D6" s="1903"/>
      <c r="E6" s="1903"/>
      <c r="F6" s="1903"/>
      <c r="G6" s="1903"/>
      <c r="H6" s="1903"/>
      <c r="I6" s="1903"/>
      <c r="J6" s="1903"/>
    </row>
    <row r="7" spans="1:10" ht="15.75">
      <c r="A7" s="1901" t="s">
        <v>291</v>
      </c>
      <c r="B7" s="1901"/>
      <c r="C7" s="1901"/>
      <c r="D7" s="1901"/>
      <c r="E7" s="1901"/>
      <c r="F7" s="1901"/>
      <c r="G7" s="1901"/>
      <c r="H7" s="1901"/>
      <c r="I7" s="1901"/>
      <c r="J7" s="1901"/>
    </row>
    <row r="8" spans="1:10" ht="4.5" customHeight="1" thickBot="1">
      <c r="A8" s="32"/>
      <c r="B8" s="32"/>
      <c r="C8" s="32"/>
      <c r="D8" s="32"/>
      <c r="E8" s="32"/>
      <c r="F8" s="32"/>
      <c r="G8" s="32"/>
      <c r="H8" s="32"/>
      <c r="I8" s="32"/>
      <c r="J8" s="32"/>
    </row>
    <row r="9" spans="1:11" ht="12.75" customHeight="1">
      <c r="A9" s="1883" t="s">
        <v>44</v>
      </c>
      <c r="B9" s="1885" t="s">
        <v>6</v>
      </c>
      <c r="C9" s="1887" t="s">
        <v>45</v>
      </c>
      <c r="D9" s="1889" t="s">
        <v>46</v>
      </c>
      <c r="E9" s="1891" t="s">
        <v>47</v>
      </c>
      <c r="F9" s="1892"/>
      <c r="G9" s="1876" t="s">
        <v>48</v>
      </c>
      <c r="H9" s="1877"/>
      <c r="I9" s="1878"/>
      <c r="J9" s="1893" t="s">
        <v>49</v>
      </c>
      <c r="K9" s="1881"/>
    </row>
    <row r="10" spans="1:11" ht="28.5" customHeight="1" thickBot="1">
      <c r="A10" s="1884"/>
      <c r="B10" s="1886"/>
      <c r="C10" s="1888"/>
      <c r="D10" s="1890"/>
      <c r="E10" s="242" t="s">
        <v>50</v>
      </c>
      <c r="F10" s="243" t="s">
        <v>51</v>
      </c>
      <c r="G10" s="242" t="s">
        <v>50</v>
      </c>
      <c r="H10" s="244" t="s">
        <v>206</v>
      </c>
      <c r="I10" s="244" t="s">
        <v>51</v>
      </c>
      <c r="J10" s="1894"/>
      <c r="K10" s="1882"/>
    </row>
    <row r="11" spans="1:11" ht="16.5" customHeight="1" thickBot="1">
      <c r="A11" s="33"/>
      <c r="B11" s="34" t="s">
        <v>52</v>
      </c>
      <c r="C11" s="35"/>
      <c r="D11" s="36"/>
      <c r="E11" s="37"/>
      <c r="F11" s="38"/>
      <c r="G11" s="39"/>
      <c r="H11" s="40"/>
      <c r="I11" s="36"/>
      <c r="J11" s="766"/>
      <c r="K11" s="529"/>
    </row>
    <row r="12" spans="1:11" ht="15" customHeight="1">
      <c r="A12" s="531">
        <f aca="true" t="shared" si="0" ref="A12:A25">A11+1</f>
        <v>1</v>
      </c>
      <c r="B12" s="733" t="s">
        <v>53</v>
      </c>
      <c r="C12" s="725" t="s">
        <v>54</v>
      </c>
      <c r="D12" s="738">
        <v>30</v>
      </c>
      <c r="E12" s="739"/>
      <c r="F12" s="740"/>
      <c r="G12" s="739">
        <f aca="true" t="shared" si="1" ref="G12:G17">D12/1000</f>
        <v>0.03</v>
      </c>
      <c r="H12" s="753">
        <v>727.69</v>
      </c>
      <c r="I12" s="754">
        <f aca="true" t="shared" si="2" ref="I12:I18">G12*H12</f>
        <v>21.8307</v>
      </c>
      <c r="J12" s="767" t="s">
        <v>74</v>
      </c>
      <c r="K12" s="676"/>
    </row>
    <row r="13" spans="1:11" ht="15" customHeight="1">
      <c r="A13" s="41">
        <f t="shared" si="0"/>
        <v>2</v>
      </c>
      <c r="B13" s="673" t="s">
        <v>119</v>
      </c>
      <c r="C13" s="724" t="s">
        <v>54</v>
      </c>
      <c r="D13" s="741">
        <v>80</v>
      </c>
      <c r="E13" s="742"/>
      <c r="F13" s="743"/>
      <c r="G13" s="742">
        <f t="shared" si="1"/>
        <v>0.08</v>
      </c>
      <c r="H13" s="756">
        <f>727.69</f>
        <v>727.69</v>
      </c>
      <c r="I13" s="754">
        <f t="shared" si="2"/>
        <v>58.2152</v>
      </c>
      <c r="J13" s="767" t="s">
        <v>74</v>
      </c>
      <c r="K13" s="677"/>
    </row>
    <row r="14" spans="1:11" ht="15" customHeight="1">
      <c r="A14" s="41">
        <f t="shared" si="0"/>
        <v>3</v>
      </c>
      <c r="B14" s="673" t="s">
        <v>56</v>
      </c>
      <c r="C14" s="47" t="s">
        <v>54</v>
      </c>
      <c r="D14" s="741">
        <v>5</v>
      </c>
      <c r="E14" s="742"/>
      <c r="F14" s="743"/>
      <c r="G14" s="742">
        <f t="shared" si="1"/>
        <v>0.005</v>
      </c>
      <c r="H14" s="756">
        <v>726.02</v>
      </c>
      <c r="I14" s="754">
        <f t="shared" si="2"/>
        <v>3.6301</v>
      </c>
      <c r="J14" s="767" t="s">
        <v>500</v>
      </c>
      <c r="K14" s="677" t="s">
        <v>483</v>
      </c>
    </row>
    <row r="15" spans="1:11" ht="15" customHeight="1">
      <c r="A15" s="726">
        <f t="shared" si="0"/>
        <v>4</v>
      </c>
      <c r="B15" s="673" t="s">
        <v>316</v>
      </c>
      <c r="C15" s="47" t="s">
        <v>54</v>
      </c>
      <c r="D15" s="744">
        <v>24</v>
      </c>
      <c r="E15" s="742"/>
      <c r="F15" s="743"/>
      <c r="G15" s="742">
        <f t="shared" si="1"/>
        <v>0.024</v>
      </c>
      <c r="H15" s="756">
        <v>430.65</v>
      </c>
      <c r="I15" s="754">
        <f t="shared" si="2"/>
        <v>10.3356</v>
      </c>
      <c r="J15" s="767" t="s">
        <v>57</v>
      </c>
      <c r="K15" s="677"/>
    </row>
    <row r="16" spans="1:11" ht="15" customHeight="1">
      <c r="A16" s="726">
        <f t="shared" si="0"/>
        <v>5</v>
      </c>
      <c r="B16" s="49" t="s">
        <v>317</v>
      </c>
      <c r="C16" s="47" t="s">
        <v>54</v>
      </c>
      <c r="D16" s="744">
        <v>20</v>
      </c>
      <c r="E16" s="742"/>
      <c r="F16" s="743"/>
      <c r="G16" s="742">
        <f t="shared" si="1"/>
        <v>0.02</v>
      </c>
      <c r="H16" s="756">
        <v>727.69</v>
      </c>
      <c r="I16" s="754">
        <f t="shared" si="2"/>
        <v>14.5538</v>
      </c>
      <c r="J16" s="768" t="s">
        <v>74</v>
      </c>
      <c r="K16" s="677"/>
    </row>
    <row r="17" spans="1:11" ht="15" customHeight="1">
      <c r="A17" s="726">
        <f t="shared" si="0"/>
        <v>6</v>
      </c>
      <c r="B17" s="49" t="s">
        <v>503</v>
      </c>
      <c r="C17" s="47" t="s">
        <v>54</v>
      </c>
      <c r="D17" s="744">
        <v>8</v>
      </c>
      <c r="E17" s="742"/>
      <c r="F17" s="743"/>
      <c r="G17" s="742">
        <f t="shared" si="1"/>
        <v>0.008</v>
      </c>
      <c r="H17" s="756">
        <v>430.65</v>
      </c>
      <c r="I17" s="754">
        <f t="shared" si="2"/>
        <v>3.4452</v>
      </c>
      <c r="J17" s="769" t="s">
        <v>57</v>
      </c>
      <c r="K17" s="677"/>
    </row>
    <row r="18" spans="1:14" ht="15" customHeight="1">
      <c r="A18" s="726">
        <f t="shared" si="0"/>
        <v>7</v>
      </c>
      <c r="B18" s="49" t="s">
        <v>409</v>
      </c>
      <c r="C18" s="47" t="s">
        <v>54</v>
      </c>
      <c r="D18" s="744">
        <v>14</v>
      </c>
      <c r="E18" s="742"/>
      <c r="F18" s="743"/>
      <c r="G18" s="742">
        <v>0.014</v>
      </c>
      <c r="H18" s="756">
        <v>1156.67</v>
      </c>
      <c r="I18" s="754">
        <f t="shared" si="2"/>
        <v>16.19338</v>
      </c>
      <c r="J18" s="769" t="s">
        <v>658</v>
      </c>
      <c r="K18" s="677"/>
      <c r="M18" s="90"/>
      <c r="N18" s="90"/>
    </row>
    <row r="19" spans="1:11" ht="15" customHeight="1">
      <c r="A19" s="726">
        <f t="shared" si="0"/>
        <v>8</v>
      </c>
      <c r="B19" s="49" t="s">
        <v>61</v>
      </c>
      <c r="C19" s="47" t="s">
        <v>54</v>
      </c>
      <c r="D19" s="744">
        <v>15</v>
      </c>
      <c r="E19" s="742"/>
      <c r="F19" s="743"/>
      <c r="G19" s="742">
        <f>D19/1000</f>
        <v>0.015</v>
      </c>
      <c r="H19" s="756">
        <v>727.69</v>
      </c>
      <c r="I19" s="754">
        <f>G19*H19</f>
        <v>10.91535</v>
      </c>
      <c r="J19" s="769" t="s">
        <v>74</v>
      </c>
      <c r="K19" s="677"/>
    </row>
    <row r="20" spans="1:11" ht="15" customHeight="1">
      <c r="A20" s="726">
        <f t="shared" si="0"/>
        <v>9</v>
      </c>
      <c r="B20" s="49" t="s">
        <v>62</v>
      </c>
      <c r="C20" s="47" t="s">
        <v>54</v>
      </c>
      <c r="D20" s="744">
        <v>20</v>
      </c>
      <c r="E20" s="742"/>
      <c r="F20" s="743"/>
      <c r="G20" s="742">
        <f>D20/1000</f>
        <v>0.02</v>
      </c>
      <c r="H20" s="756">
        <v>727.69</v>
      </c>
      <c r="I20" s="754">
        <f aca="true" t="shared" si="3" ref="I20:I24">G20*H20</f>
        <v>14.5538</v>
      </c>
      <c r="J20" s="769" t="s">
        <v>74</v>
      </c>
      <c r="K20" s="677" t="s">
        <v>75</v>
      </c>
    </row>
    <row r="21" spans="1:11" ht="15" customHeight="1">
      <c r="A21" s="726">
        <f t="shared" si="0"/>
        <v>10</v>
      </c>
      <c r="B21" s="49" t="s">
        <v>63</v>
      </c>
      <c r="C21" s="47" t="s">
        <v>54</v>
      </c>
      <c r="D21" s="744">
        <v>15</v>
      </c>
      <c r="E21" s="742"/>
      <c r="F21" s="743"/>
      <c r="G21" s="742">
        <f>D21/1000</f>
        <v>0.015</v>
      </c>
      <c r="H21" s="756">
        <v>727.69</v>
      </c>
      <c r="I21" s="754">
        <f t="shared" si="3"/>
        <v>10.91535</v>
      </c>
      <c r="J21" s="769" t="s">
        <v>74</v>
      </c>
      <c r="K21" s="677"/>
    </row>
    <row r="22" spans="1:11" ht="15" customHeight="1">
      <c r="A22" s="726">
        <f t="shared" si="0"/>
        <v>11</v>
      </c>
      <c r="B22" s="49" t="s">
        <v>309</v>
      </c>
      <c r="C22" s="47" t="s">
        <v>54</v>
      </c>
      <c r="D22" s="744">
        <v>3</v>
      </c>
      <c r="E22" s="742"/>
      <c r="F22" s="743"/>
      <c r="G22" s="742">
        <f>D22/1000</f>
        <v>0.003</v>
      </c>
      <c r="H22" s="756">
        <v>727.69</v>
      </c>
      <c r="I22" s="754">
        <f t="shared" si="3"/>
        <v>2.1830700000000003</v>
      </c>
      <c r="J22" s="769" t="s">
        <v>74</v>
      </c>
      <c r="K22" s="677"/>
    </row>
    <row r="23" spans="1:14" ht="15" customHeight="1">
      <c r="A23" s="726">
        <f t="shared" si="0"/>
        <v>12</v>
      </c>
      <c r="B23" s="49" t="s">
        <v>66</v>
      </c>
      <c r="C23" s="47" t="s">
        <v>54</v>
      </c>
      <c r="D23" s="744">
        <v>17</v>
      </c>
      <c r="E23" s="742"/>
      <c r="F23" s="743"/>
      <c r="G23" s="742">
        <v>0.017</v>
      </c>
      <c r="H23" s="756">
        <v>1156.67</v>
      </c>
      <c r="I23" s="754">
        <f>G23*H23</f>
        <v>19.663390000000003</v>
      </c>
      <c r="J23" s="767" t="s">
        <v>659</v>
      </c>
      <c r="K23" s="677" t="s">
        <v>89</v>
      </c>
      <c r="L23" s="90"/>
      <c r="M23" s="90"/>
      <c r="N23" s="90"/>
    </row>
    <row r="24" spans="1:11" ht="15" customHeight="1">
      <c r="A24" s="726">
        <f t="shared" si="0"/>
        <v>13</v>
      </c>
      <c r="B24" s="49" t="s">
        <v>67</v>
      </c>
      <c r="C24" s="47" t="s">
        <v>54</v>
      </c>
      <c r="D24" s="744">
        <v>2</v>
      </c>
      <c r="E24" s="742"/>
      <c r="F24" s="743"/>
      <c r="G24" s="742">
        <f>D24/1000</f>
        <v>0.002</v>
      </c>
      <c r="H24" s="756">
        <v>727.69</v>
      </c>
      <c r="I24" s="754">
        <f t="shared" si="3"/>
        <v>1.4553800000000001</v>
      </c>
      <c r="J24" s="767" t="s">
        <v>74</v>
      </c>
      <c r="K24" s="677" t="s">
        <v>90</v>
      </c>
    </row>
    <row r="25" spans="1:11" ht="15" customHeight="1" thickBot="1">
      <c r="A25" s="726">
        <f t="shared" si="0"/>
        <v>14</v>
      </c>
      <c r="B25" s="49" t="s">
        <v>124</v>
      </c>
      <c r="C25" s="47" t="s">
        <v>54</v>
      </c>
      <c r="D25" s="744">
        <v>70</v>
      </c>
      <c r="E25" s="742"/>
      <c r="F25" s="743"/>
      <c r="G25" s="742">
        <f>D25/1000</f>
        <v>0.07</v>
      </c>
      <c r="H25" s="756">
        <v>727.69</v>
      </c>
      <c r="I25" s="754">
        <f>G25*H25</f>
        <v>50.938300000000005</v>
      </c>
      <c r="J25" s="767" t="s">
        <v>74</v>
      </c>
      <c r="K25" s="677"/>
    </row>
    <row r="26" spans="1:11" ht="14.25" customHeight="1" thickBot="1">
      <c r="A26" s="727"/>
      <c r="B26" s="1895" t="s">
        <v>69</v>
      </c>
      <c r="C26" s="1896"/>
      <c r="D26" s="745">
        <f>SUM(D12:D25)</f>
        <v>323</v>
      </c>
      <c r="E26" s="774">
        <f>SUM(E12:E25)</f>
        <v>0</v>
      </c>
      <c r="F26" s="775">
        <f>SUM(F12:F25)</f>
        <v>0</v>
      </c>
      <c r="G26" s="746">
        <f>SUM(G12:G25)</f>
        <v>0.323</v>
      </c>
      <c r="H26" s="747"/>
      <c r="I26" s="747">
        <f>SUM(I12:I25)</f>
        <v>238.82861999999994</v>
      </c>
      <c r="J26" s="770"/>
      <c r="K26" s="678"/>
    </row>
    <row r="27" spans="1:11" ht="12.75" customHeight="1" thickBot="1">
      <c r="A27" s="727"/>
      <c r="B27" s="736" t="s">
        <v>70</v>
      </c>
      <c r="C27" s="737"/>
      <c r="D27" s="745"/>
      <c r="E27" s="746"/>
      <c r="F27" s="748"/>
      <c r="G27" s="749"/>
      <c r="H27" s="750"/>
      <c r="I27" s="751"/>
      <c r="J27" s="771"/>
      <c r="K27" s="679"/>
    </row>
    <row r="28" spans="1:11" ht="15" customHeight="1">
      <c r="A28" s="728" t="s">
        <v>71</v>
      </c>
      <c r="B28" s="673" t="s">
        <v>332</v>
      </c>
      <c r="C28" s="683" t="s">
        <v>73</v>
      </c>
      <c r="D28" s="738">
        <v>3</v>
      </c>
      <c r="E28" s="752"/>
      <c r="F28" s="753"/>
      <c r="G28" s="742">
        <f aca="true" t="shared" si="4" ref="G28:G54">D28/1000</f>
        <v>0.003</v>
      </c>
      <c r="H28" s="753">
        <v>1403.41</v>
      </c>
      <c r="I28" s="754">
        <f>G28*H28</f>
        <v>4.21023</v>
      </c>
      <c r="J28" s="767" t="s">
        <v>78</v>
      </c>
      <c r="K28" s="680"/>
    </row>
    <row r="29" spans="1:11" ht="15" customHeight="1">
      <c r="A29" s="729">
        <f>A28+1</f>
        <v>2</v>
      </c>
      <c r="B29" s="49" t="s">
        <v>76</v>
      </c>
      <c r="C29" s="684" t="s">
        <v>73</v>
      </c>
      <c r="D29" s="744">
        <v>10</v>
      </c>
      <c r="E29" s="755"/>
      <c r="F29" s="743"/>
      <c r="G29" s="742">
        <f t="shared" si="4"/>
        <v>0.01</v>
      </c>
      <c r="H29" s="756">
        <v>1180.1837837837838</v>
      </c>
      <c r="I29" s="754">
        <f aca="true" t="shared" si="5" ref="I29:I53">G29*H29</f>
        <v>11.801837837837839</v>
      </c>
      <c r="J29" s="769" t="s">
        <v>84</v>
      </c>
      <c r="K29" s="677"/>
    </row>
    <row r="30" spans="1:11" ht="15" customHeight="1">
      <c r="A30" s="729">
        <f>A29+1</f>
        <v>3</v>
      </c>
      <c r="B30" s="49" t="s">
        <v>80</v>
      </c>
      <c r="C30" s="684" t="s">
        <v>73</v>
      </c>
      <c r="D30" s="744">
        <v>26</v>
      </c>
      <c r="E30" s="755"/>
      <c r="F30" s="756"/>
      <c r="G30" s="742">
        <f t="shared" si="4"/>
        <v>0.026</v>
      </c>
      <c r="H30" s="756">
        <v>1065.55</v>
      </c>
      <c r="I30" s="754">
        <f t="shared" si="5"/>
        <v>27.704299999999996</v>
      </c>
      <c r="J30" s="769" t="s">
        <v>604</v>
      </c>
      <c r="K30" s="681" t="s">
        <v>601</v>
      </c>
    </row>
    <row r="31" spans="1:11" ht="15" customHeight="1">
      <c r="A31" s="729">
        <f aca="true" t="shared" si="6" ref="A31:A54">A30+1</f>
        <v>4</v>
      </c>
      <c r="B31" s="49" t="s">
        <v>81</v>
      </c>
      <c r="C31" s="684" t="s">
        <v>73</v>
      </c>
      <c r="D31" s="744">
        <v>30</v>
      </c>
      <c r="E31" s="755"/>
      <c r="F31" s="756"/>
      <c r="G31" s="742">
        <f t="shared" si="4"/>
        <v>0.03</v>
      </c>
      <c r="H31" s="756">
        <v>1065.55</v>
      </c>
      <c r="I31" s="754">
        <f t="shared" si="5"/>
        <v>31.966499999999996</v>
      </c>
      <c r="J31" s="769" t="s">
        <v>604</v>
      </c>
      <c r="K31" s="682" t="s">
        <v>602</v>
      </c>
    </row>
    <row r="32" spans="1:11" ht="15" customHeight="1">
      <c r="A32" s="729">
        <f t="shared" si="6"/>
        <v>5</v>
      </c>
      <c r="B32" s="49" t="s">
        <v>83</v>
      </c>
      <c r="C32" s="684" t="s">
        <v>73</v>
      </c>
      <c r="D32" s="744">
        <v>10</v>
      </c>
      <c r="E32" s="755"/>
      <c r="F32" s="743"/>
      <c r="G32" s="742">
        <f t="shared" si="4"/>
        <v>0.01</v>
      </c>
      <c r="H32" s="756">
        <v>727.69</v>
      </c>
      <c r="I32" s="754">
        <f t="shared" si="5"/>
        <v>7.2769</v>
      </c>
      <c r="J32" s="769" t="s">
        <v>74</v>
      </c>
      <c r="K32" s="677"/>
    </row>
    <row r="33" spans="1:11" ht="15" customHeight="1">
      <c r="A33" s="729">
        <f t="shared" si="6"/>
        <v>6</v>
      </c>
      <c r="B33" s="49" t="s">
        <v>86</v>
      </c>
      <c r="C33" s="684" t="s">
        <v>73</v>
      </c>
      <c r="D33" s="744">
        <v>60</v>
      </c>
      <c r="E33" s="755"/>
      <c r="F33" s="756"/>
      <c r="G33" s="742">
        <f t="shared" si="4"/>
        <v>0.06</v>
      </c>
      <c r="H33" s="756">
        <v>1403.41</v>
      </c>
      <c r="I33" s="754">
        <f t="shared" si="5"/>
        <v>84.2046</v>
      </c>
      <c r="J33" s="769" t="s">
        <v>82</v>
      </c>
      <c r="K33" s="682" t="s">
        <v>87</v>
      </c>
    </row>
    <row r="34" spans="1:11" ht="15" customHeight="1">
      <c r="A34" s="729">
        <f t="shared" si="6"/>
        <v>7</v>
      </c>
      <c r="B34" s="49" t="s">
        <v>160</v>
      </c>
      <c r="C34" s="684" t="s">
        <v>73</v>
      </c>
      <c r="D34" s="744">
        <v>10</v>
      </c>
      <c r="E34" s="755"/>
      <c r="F34" s="756"/>
      <c r="G34" s="742">
        <f t="shared" si="4"/>
        <v>0.01</v>
      </c>
      <c r="H34" s="756">
        <v>726.02</v>
      </c>
      <c r="I34" s="754">
        <f t="shared" si="5"/>
        <v>7.2602</v>
      </c>
      <c r="J34" s="769" t="s">
        <v>289</v>
      </c>
      <c r="K34" s="681"/>
    </row>
    <row r="35" spans="1:11" ht="15" customHeight="1">
      <c r="A35" s="729">
        <f t="shared" si="6"/>
        <v>8</v>
      </c>
      <c r="B35" s="49" t="s">
        <v>212</v>
      </c>
      <c r="C35" s="684" t="s">
        <v>73</v>
      </c>
      <c r="D35" s="744">
        <v>10</v>
      </c>
      <c r="E35" s="755"/>
      <c r="F35" s="743"/>
      <c r="G35" s="742">
        <f t="shared" si="4"/>
        <v>0.01</v>
      </c>
      <c r="H35" s="756">
        <v>1065.55</v>
      </c>
      <c r="I35" s="754">
        <f t="shared" si="5"/>
        <v>10.6555</v>
      </c>
      <c r="J35" s="769" t="s">
        <v>604</v>
      </c>
      <c r="K35" s="677" t="s">
        <v>603</v>
      </c>
    </row>
    <row r="36" spans="1:11" ht="15" customHeight="1">
      <c r="A36" s="729">
        <f t="shared" si="6"/>
        <v>9</v>
      </c>
      <c r="B36" s="49" t="s">
        <v>284</v>
      </c>
      <c r="C36" s="684" t="s">
        <v>73</v>
      </c>
      <c r="D36" s="744">
        <v>2</v>
      </c>
      <c r="E36" s="755"/>
      <c r="F36" s="756"/>
      <c r="G36" s="742">
        <f t="shared" si="4"/>
        <v>0.002</v>
      </c>
      <c r="H36" s="756">
        <v>1403.41</v>
      </c>
      <c r="I36" s="754">
        <f t="shared" si="5"/>
        <v>2.80682</v>
      </c>
      <c r="J36" s="769" t="s">
        <v>78</v>
      </c>
      <c r="K36" s="681" t="s">
        <v>593</v>
      </c>
    </row>
    <row r="37" spans="1:11" ht="15" customHeight="1">
      <c r="A37" s="729">
        <f t="shared" si="6"/>
        <v>10</v>
      </c>
      <c r="B37" s="49" t="s">
        <v>138</v>
      </c>
      <c r="C37" s="684" t="s">
        <v>73</v>
      </c>
      <c r="D37" s="744">
        <v>5</v>
      </c>
      <c r="E37" s="755"/>
      <c r="F37" s="756"/>
      <c r="G37" s="742">
        <f t="shared" si="4"/>
        <v>0.005</v>
      </c>
      <c r="H37" s="756">
        <v>1403.41</v>
      </c>
      <c r="I37" s="754">
        <f t="shared" si="5"/>
        <v>7.01705</v>
      </c>
      <c r="J37" s="769" t="s">
        <v>78</v>
      </c>
      <c r="K37" s="681" t="s">
        <v>380</v>
      </c>
    </row>
    <row r="38" spans="1:11" ht="15" customHeight="1">
      <c r="A38" s="729">
        <f t="shared" si="6"/>
        <v>11</v>
      </c>
      <c r="B38" s="49" t="s">
        <v>287</v>
      </c>
      <c r="C38" s="684" t="s">
        <v>73</v>
      </c>
      <c r="D38" s="744">
        <v>30</v>
      </c>
      <c r="E38" s="755"/>
      <c r="F38" s="743"/>
      <c r="G38" s="742">
        <f t="shared" si="4"/>
        <v>0.03</v>
      </c>
      <c r="H38" s="756">
        <v>727.69</v>
      </c>
      <c r="I38" s="754">
        <f t="shared" si="5"/>
        <v>21.8307</v>
      </c>
      <c r="J38" s="769" t="s">
        <v>64</v>
      </c>
      <c r="K38" s="677" t="s">
        <v>85</v>
      </c>
    </row>
    <row r="39" spans="1:11" ht="15" customHeight="1">
      <c r="A39" s="729">
        <f t="shared" si="6"/>
        <v>12</v>
      </c>
      <c r="B39" s="49" t="s">
        <v>164</v>
      </c>
      <c r="C39" s="684" t="s">
        <v>73</v>
      </c>
      <c r="D39" s="744">
        <v>6</v>
      </c>
      <c r="E39" s="755"/>
      <c r="F39" s="756"/>
      <c r="G39" s="742">
        <f t="shared" si="4"/>
        <v>0.006</v>
      </c>
      <c r="H39" s="756">
        <v>1403.41</v>
      </c>
      <c r="I39" s="754">
        <f t="shared" si="5"/>
        <v>8.42046</v>
      </c>
      <c r="J39" s="769" t="s">
        <v>82</v>
      </c>
      <c r="K39" s="681"/>
    </row>
    <row r="40" spans="1:11" ht="15" customHeight="1">
      <c r="A40" s="729">
        <f t="shared" si="6"/>
        <v>13</v>
      </c>
      <c r="B40" s="49" t="s">
        <v>370</v>
      </c>
      <c r="C40" s="684" t="s">
        <v>73</v>
      </c>
      <c r="D40" s="744">
        <v>2</v>
      </c>
      <c r="E40" s="755"/>
      <c r="F40" s="756"/>
      <c r="G40" s="742">
        <v>0.002</v>
      </c>
      <c r="H40" s="756">
        <v>727.69</v>
      </c>
      <c r="I40" s="754">
        <v>1.4553800000000001</v>
      </c>
      <c r="J40" s="769" t="s">
        <v>371</v>
      </c>
      <c r="K40" s="681"/>
    </row>
    <row r="41" spans="1:11" ht="15" customHeight="1">
      <c r="A41" s="729">
        <f t="shared" si="6"/>
        <v>14</v>
      </c>
      <c r="B41" s="731" t="s">
        <v>268</v>
      </c>
      <c r="C41" s="732" t="s">
        <v>73</v>
      </c>
      <c r="D41" s="744">
        <v>6</v>
      </c>
      <c r="E41" s="755"/>
      <c r="F41" s="743"/>
      <c r="G41" s="742">
        <f t="shared" si="4"/>
        <v>0.006</v>
      </c>
      <c r="H41" s="756">
        <v>1180.1837837837838</v>
      </c>
      <c r="I41" s="754">
        <f t="shared" si="5"/>
        <v>7.081102702702704</v>
      </c>
      <c r="J41" s="769" t="s">
        <v>288</v>
      </c>
      <c r="K41" s="677"/>
    </row>
    <row r="42" spans="1:12" ht="15" customHeight="1">
      <c r="A42" s="729">
        <f t="shared" si="6"/>
        <v>15</v>
      </c>
      <c r="B42" s="49" t="s">
        <v>290</v>
      </c>
      <c r="C42" s="684" t="s">
        <v>73</v>
      </c>
      <c r="D42" s="744">
        <v>6</v>
      </c>
      <c r="E42" s="755"/>
      <c r="F42" s="756"/>
      <c r="G42" s="742">
        <f t="shared" si="4"/>
        <v>0.006</v>
      </c>
      <c r="H42" s="756">
        <v>1403.41</v>
      </c>
      <c r="I42" s="754">
        <f t="shared" si="5"/>
        <v>8.42046</v>
      </c>
      <c r="J42" s="769" t="s">
        <v>78</v>
      </c>
      <c r="K42" s="730"/>
      <c r="L42" s="103"/>
    </row>
    <row r="43" spans="1:12" ht="15" customHeight="1">
      <c r="A43" s="729">
        <f t="shared" si="6"/>
        <v>16</v>
      </c>
      <c r="B43" s="49" t="s">
        <v>269</v>
      </c>
      <c r="C43" s="684" t="s">
        <v>73</v>
      </c>
      <c r="D43" s="744">
        <v>5</v>
      </c>
      <c r="E43" s="755"/>
      <c r="F43" s="756"/>
      <c r="G43" s="742">
        <f t="shared" si="4"/>
        <v>0.005</v>
      </c>
      <c r="H43" s="756">
        <v>1403.41</v>
      </c>
      <c r="I43" s="754">
        <f t="shared" si="5"/>
        <v>7.01705</v>
      </c>
      <c r="J43" s="769" t="s">
        <v>78</v>
      </c>
      <c r="K43" s="730" t="s">
        <v>454</v>
      </c>
      <c r="L43" s="103"/>
    </row>
    <row r="44" spans="1:12" ht="15" customHeight="1">
      <c r="A44" s="729">
        <f t="shared" si="6"/>
        <v>17</v>
      </c>
      <c r="B44" s="49" t="s">
        <v>641</v>
      </c>
      <c r="C44" s="684" t="s">
        <v>73</v>
      </c>
      <c r="D44" s="744">
        <v>15</v>
      </c>
      <c r="E44" s="755"/>
      <c r="F44" s="756"/>
      <c r="G44" s="742">
        <f t="shared" si="4"/>
        <v>0.015</v>
      </c>
      <c r="H44" s="756">
        <v>1403.41</v>
      </c>
      <c r="I44" s="754">
        <f t="shared" si="5"/>
        <v>21.05115</v>
      </c>
      <c r="J44" s="769" t="s">
        <v>78</v>
      </c>
      <c r="K44" s="730" t="s">
        <v>642</v>
      </c>
      <c r="L44" s="103"/>
    </row>
    <row r="45" spans="1:12" ht="15" customHeight="1">
      <c r="A45" s="729">
        <f t="shared" si="6"/>
        <v>18</v>
      </c>
      <c r="B45" s="49" t="s">
        <v>109</v>
      </c>
      <c r="C45" s="684" t="s">
        <v>73</v>
      </c>
      <c r="D45" s="744">
        <v>2</v>
      </c>
      <c r="E45" s="755"/>
      <c r="F45" s="756"/>
      <c r="G45" s="742">
        <f t="shared" si="4"/>
        <v>0.002</v>
      </c>
      <c r="H45" s="756">
        <v>1403.41</v>
      </c>
      <c r="I45" s="754">
        <f t="shared" si="5"/>
        <v>2.80682</v>
      </c>
      <c r="J45" s="769" t="s">
        <v>78</v>
      </c>
      <c r="K45" s="730" t="s">
        <v>437</v>
      </c>
      <c r="L45" s="103"/>
    </row>
    <row r="46" spans="1:12" ht="15" customHeight="1">
      <c r="A46" s="729">
        <f t="shared" si="6"/>
        <v>19</v>
      </c>
      <c r="B46" s="49" t="s">
        <v>170</v>
      </c>
      <c r="C46" s="684" t="s">
        <v>73</v>
      </c>
      <c r="D46" s="744">
        <v>5</v>
      </c>
      <c r="E46" s="755"/>
      <c r="F46" s="756"/>
      <c r="G46" s="742">
        <f t="shared" si="4"/>
        <v>0.005</v>
      </c>
      <c r="H46" s="756">
        <v>1403.41</v>
      </c>
      <c r="I46" s="754">
        <f t="shared" si="5"/>
        <v>7.01705</v>
      </c>
      <c r="J46" s="769" t="s">
        <v>78</v>
      </c>
      <c r="K46" s="730" t="s">
        <v>470</v>
      </c>
      <c r="L46" s="103"/>
    </row>
    <row r="47" spans="1:12" ht="15" customHeight="1">
      <c r="A47" s="729">
        <f t="shared" si="6"/>
        <v>20</v>
      </c>
      <c r="B47" s="673" t="s">
        <v>33</v>
      </c>
      <c r="C47" s="685" t="s">
        <v>73</v>
      </c>
      <c r="D47" s="741">
        <v>5</v>
      </c>
      <c r="E47" s="742"/>
      <c r="F47" s="756"/>
      <c r="G47" s="742">
        <f t="shared" si="4"/>
        <v>0.005</v>
      </c>
      <c r="H47" s="756">
        <v>1403.41</v>
      </c>
      <c r="I47" s="754">
        <f t="shared" si="5"/>
        <v>7.01705</v>
      </c>
      <c r="J47" s="767" t="s">
        <v>78</v>
      </c>
      <c r="K47" s="730" t="s">
        <v>379</v>
      </c>
      <c r="L47" s="103"/>
    </row>
    <row r="48" spans="1:12" ht="15" customHeight="1">
      <c r="A48" s="729">
        <f t="shared" si="6"/>
        <v>21</v>
      </c>
      <c r="B48" s="49" t="s">
        <v>247</v>
      </c>
      <c r="C48" s="684" t="s">
        <v>73</v>
      </c>
      <c r="D48" s="744">
        <v>5</v>
      </c>
      <c r="E48" s="742"/>
      <c r="F48" s="756"/>
      <c r="G48" s="742">
        <f t="shared" si="4"/>
        <v>0.005</v>
      </c>
      <c r="H48" s="756">
        <v>1403.41</v>
      </c>
      <c r="I48" s="754">
        <f t="shared" si="5"/>
        <v>7.01705</v>
      </c>
      <c r="J48" s="769" t="s">
        <v>78</v>
      </c>
      <c r="K48" s="730" t="s">
        <v>466</v>
      </c>
      <c r="L48" s="103"/>
    </row>
    <row r="49" spans="1:12" ht="15" customHeight="1">
      <c r="A49" s="729">
        <f t="shared" si="6"/>
        <v>22</v>
      </c>
      <c r="B49" s="49" t="s">
        <v>172</v>
      </c>
      <c r="C49" s="684" t="s">
        <v>73</v>
      </c>
      <c r="D49" s="744">
        <v>1</v>
      </c>
      <c r="E49" s="742"/>
      <c r="F49" s="743"/>
      <c r="G49" s="742">
        <f t="shared" si="4"/>
        <v>0.001</v>
      </c>
      <c r="H49" s="756">
        <v>727.69</v>
      </c>
      <c r="I49" s="754">
        <f t="shared" si="5"/>
        <v>0.7276900000000001</v>
      </c>
      <c r="J49" s="769" t="s">
        <v>64</v>
      </c>
      <c r="K49" s="730"/>
      <c r="L49" s="103"/>
    </row>
    <row r="50" spans="1:14" ht="15" customHeight="1">
      <c r="A50" s="729">
        <f t="shared" si="6"/>
        <v>23</v>
      </c>
      <c r="B50" s="49" t="s">
        <v>173</v>
      </c>
      <c r="C50" s="684" t="s">
        <v>73</v>
      </c>
      <c r="D50" s="744">
        <v>35</v>
      </c>
      <c r="E50" s="742"/>
      <c r="F50" s="756"/>
      <c r="G50" s="742">
        <f t="shared" si="4"/>
        <v>0.035</v>
      </c>
      <c r="H50" s="756">
        <v>1291.797</v>
      </c>
      <c r="I50" s="754">
        <f t="shared" si="5"/>
        <v>45.212895</v>
      </c>
      <c r="J50" s="767" t="s">
        <v>660</v>
      </c>
      <c r="K50" s="730" t="s">
        <v>465</v>
      </c>
      <c r="L50" s="776"/>
      <c r="M50" s="776"/>
      <c r="N50" s="776"/>
    </row>
    <row r="51" spans="1:12" ht="15" customHeight="1">
      <c r="A51" s="729">
        <f t="shared" si="6"/>
        <v>24</v>
      </c>
      <c r="B51" s="49" t="s">
        <v>92</v>
      </c>
      <c r="C51" s="684" t="s">
        <v>73</v>
      </c>
      <c r="D51" s="744">
        <v>10</v>
      </c>
      <c r="E51" s="742"/>
      <c r="F51" s="756"/>
      <c r="G51" s="742">
        <f t="shared" si="4"/>
        <v>0.01</v>
      </c>
      <c r="H51" s="756">
        <v>1403.41</v>
      </c>
      <c r="I51" s="754">
        <f t="shared" si="5"/>
        <v>14.0341</v>
      </c>
      <c r="J51" s="767" t="s">
        <v>78</v>
      </c>
      <c r="K51" s="730" t="s">
        <v>437</v>
      </c>
      <c r="L51" s="103"/>
    </row>
    <row r="52" spans="1:12" ht="15" customHeight="1">
      <c r="A52" s="729">
        <f t="shared" si="6"/>
        <v>25</v>
      </c>
      <c r="B52" s="49" t="s">
        <v>282</v>
      </c>
      <c r="C52" s="684" t="s">
        <v>73</v>
      </c>
      <c r="D52" s="744">
        <v>10</v>
      </c>
      <c r="E52" s="742"/>
      <c r="F52" s="756"/>
      <c r="G52" s="742">
        <f t="shared" si="4"/>
        <v>0.01</v>
      </c>
      <c r="H52" s="756">
        <v>1403.41</v>
      </c>
      <c r="I52" s="754">
        <f t="shared" si="5"/>
        <v>14.0341</v>
      </c>
      <c r="J52" s="767" t="s">
        <v>78</v>
      </c>
      <c r="K52" s="730" t="s">
        <v>656</v>
      </c>
      <c r="L52" s="103"/>
    </row>
    <row r="53" spans="1:12" ht="15" customHeight="1">
      <c r="A53" s="729">
        <f t="shared" si="6"/>
        <v>26</v>
      </c>
      <c r="B53" s="49" t="s">
        <v>283</v>
      </c>
      <c r="C53" s="684" t="s">
        <v>73</v>
      </c>
      <c r="D53" s="744">
        <v>15</v>
      </c>
      <c r="E53" s="742"/>
      <c r="F53" s="756"/>
      <c r="G53" s="742">
        <f t="shared" si="4"/>
        <v>0.015</v>
      </c>
      <c r="H53" s="756">
        <v>1403.41</v>
      </c>
      <c r="I53" s="754">
        <f t="shared" si="5"/>
        <v>21.05115</v>
      </c>
      <c r="J53" s="767" t="s">
        <v>78</v>
      </c>
      <c r="K53" s="730" t="s">
        <v>372</v>
      </c>
      <c r="L53" s="103"/>
    </row>
    <row r="54" spans="1:12" ht="15" customHeight="1" thickBot="1">
      <c r="A54" s="729">
        <f t="shared" si="6"/>
        <v>27</v>
      </c>
      <c r="B54" s="49" t="s">
        <v>471</v>
      </c>
      <c r="C54" s="684" t="s">
        <v>73</v>
      </c>
      <c r="D54" s="744">
        <v>16</v>
      </c>
      <c r="E54" s="757"/>
      <c r="F54" s="758"/>
      <c r="G54" s="742">
        <f t="shared" si="4"/>
        <v>0.016</v>
      </c>
      <c r="H54" s="756">
        <v>1065.55</v>
      </c>
      <c r="I54" s="754">
        <f>D54*0.72602</f>
        <v>11.61632</v>
      </c>
      <c r="J54" s="767" t="s">
        <v>604</v>
      </c>
      <c r="K54" s="730" t="s">
        <v>437</v>
      </c>
      <c r="L54" s="103"/>
    </row>
    <row r="55" spans="1:11" ht="15" customHeight="1" thickBot="1">
      <c r="A55" s="51"/>
      <c r="B55" s="1897" t="s">
        <v>93</v>
      </c>
      <c r="C55" s="1898"/>
      <c r="D55" s="759">
        <f>SUM(D28:D54)</f>
        <v>340</v>
      </c>
      <c r="E55" s="759">
        <f>SUM(E28:E54)</f>
        <v>0</v>
      </c>
      <c r="F55" s="760">
        <f>SUM(F28:F54)</f>
        <v>0</v>
      </c>
      <c r="G55" s="761">
        <f>SUM(G28:G54)</f>
        <v>0.3400000000000001</v>
      </c>
      <c r="H55" s="760"/>
      <c r="I55" s="760">
        <f>SUM(I28:I54)</f>
        <v>400.7144655405405</v>
      </c>
      <c r="J55" s="772"/>
      <c r="K55" s="529"/>
    </row>
    <row r="56" spans="1:11" ht="16.5" customHeight="1" thickBot="1">
      <c r="A56" s="52"/>
      <c r="B56" s="1899" t="s">
        <v>94</v>
      </c>
      <c r="C56" s="1900"/>
      <c r="D56" s="762">
        <f>D55+D26</f>
        <v>663</v>
      </c>
      <c r="E56" s="763">
        <f>E55+E26</f>
        <v>0</v>
      </c>
      <c r="F56" s="764">
        <f>F55+F26</f>
        <v>0</v>
      </c>
      <c r="G56" s="762">
        <f>G55+G26</f>
        <v>0.663</v>
      </c>
      <c r="H56" s="764"/>
      <c r="I56" s="765">
        <f>I55+I26</f>
        <v>639.5430855405405</v>
      </c>
      <c r="J56" s="773"/>
      <c r="K56" s="530"/>
    </row>
    <row r="57" spans="1:10" ht="6" customHeight="1">
      <c r="A57" s="15"/>
      <c r="B57" s="53"/>
      <c r="C57" s="53"/>
      <c r="D57" s="54"/>
      <c r="E57" s="55"/>
      <c r="F57" s="55"/>
      <c r="G57" s="55"/>
      <c r="H57" s="55"/>
      <c r="I57" s="55"/>
      <c r="J57" s="56"/>
    </row>
    <row r="58" spans="1:10" ht="13.5">
      <c r="A58" s="57"/>
      <c r="B58" s="58"/>
      <c r="C58" s="57"/>
      <c r="D58" s="57"/>
      <c r="E58" s="57"/>
      <c r="F58" s="57"/>
      <c r="G58" s="57"/>
      <c r="H58" s="57"/>
      <c r="I58" s="57"/>
      <c r="J58" s="57"/>
    </row>
    <row r="59" spans="1:10" ht="12.75">
      <c r="A59" s="57"/>
      <c r="B59" s="57" t="s">
        <v>95</v>
      </c>
      <c r="C59" s="57"/>
      <c r="D59" s="57"/>
      <c r="E59" s="57"/>
      <c r="F59" s="57"/>
      <c r="G59" s="57"/>
      <c r="H59" s="57"/>
      <c r="I59" s="57"/>
      <c r="J59" s="57" t="s">
        <v>96</v>
      </c>
    </row>
    <row r="63" ht="15.75">
      <c r="B63" s="734" t="s">
        <v>335</v>
      </c>
    </row>
    <row r="67" ht="13.5" thickBot="1"/>
    <row r="68" spans="1:11" ht="15.75">
      <c r="A68" s="1883" t="s">
        <v>44</v>
      </c>
      <c r="B68" s="1885" t="s">
        <v>6</v>
      </c>
      <c r="C68" s="1887" t="s">
        <v>45</v>
      </c>
      <c r="D68" s="1889" t="s">
        <v>46</v>
      </c>
      <c r="E68" s="1891" t="s">
        <v>47</v>
      </c>
      <c r="F68" s="1892"/>
      <c r="G68" s="1876" t="s">
        <v>48</v>
      </c>
      <c r="H68" s="1877"/>
      <c r="I68" s="1878"/>
      <c r="J68" s="1879" t="s">
        <v>49</v>
      </c>
      <c r="K68" s="1881"/>
    </row>
    <row r="69" spans="1:11" ht="26.25" thickBot="1">
      <c r="A69" s="1884"/>
      <c r="B69" s="1886"/>
      <c r="C69" s="1888"/>
      <c r="D69" s="1890"/>
      <c r="E69" s="242" t="s">
        <v>50</v>
      </c>
      <c r="F69" s="243" t="s">
        <v>51</v>
      </c>
      <c r="G69" s="242" t="s">
        <v>50</v>
      </c>
      <c r="H69" s="244" t="s">
        <v>206</v>
      </c>
      <c r="I69" s="244" t="s">
        <v>51</v>
      </c>
      <c r="J69" s="1880"/>
      <c r="K69" s="1882"/>
    </row>
    <row r="70" spans="1:11" ht="16.5" thickBot="1">
      <c r="A70" s="33"/>
      <c r="B70" s="34" t="s">
        <v>52</v>
      </c>
      <c r="C70" s="35"/>
      <c r="D70" s="36"/>
      <c r="E70" s="37"/>
      <c r="F70" s="38"/>
      <c r="G70" s="39"/>
      <c r="H70" s="40"/>
      <c r="I70" s="36"/>
      <c r="J70" s="528"/>
      <c r="K70" s="529"/>
    </row>
    <row r="71" spans="1:11" ht="15.75">
      <c r="A71" s="41">
        <v>2</v>
      </c>
      <c r="B71" s="550" t="s">
        <v>55</v>
      </c>
      <c r="C71" s="551" t="s">
        <v>54</v>
      </c>
      <c r="D71" s="46">
        <v>3</v>
      </c>
      <c r="E71" s="42"/>
      <c r="F71" s="43"/>
      <c r="G71" s="42">
        <v>0.003</v>
      </c>
      <c r="H71" s="43"/>
      <c r="I71" s="44"/>
      <c r="J71" s="674" t="s">
        <v>657</v>
      </c>
      <c r="K71" s="677"/>
    </row>
    <row r="72" spans="1:11" ht="15.75">
      <c r="A72" s="41">
        <v>4</v>
      </c>
      <c r="B72" s="550" t="s">
        <v>56</v>
      </c>
      <c r="C72" s="552" t="s">
        <v>54</v>
      </c>
      <c r="D72" s="48">
        <v>10</v>
      </c>
      <c r="E72" s="42"/>
      <c r="F72" s="43"/>
      <c r="G72" s="42">
        <v>0.01</v>
      </c>
      <c r="H72" s="43"/>
      <c r="I72" s="44"/>
      <c r="J72" s="674" t="s">
        <v>657</v>
      </c>
      <c r="K72" s="677"/>
    </row>
    <row r="73" spans="1:11" ht="15.75">
      <c r="A73" s="41">
        <v>6</v>
      </c>
      <c r="B73" s="553" t="s">
        <v>58</v>
      </c>
      <c r="C73" s="552" t="s">
        <v>54</v>
      </c>
      <c r="D73" s="48">
        <v>10</v>
      </c>
      <c r="E73" s="42"/>
      <c r="F73" s="43"/>
      <c r="G73" s="42">
        <v>0.01</v>
      </c>
      <c r="H73" s="43"/>
      <c r="I73" s="44"/>
      <c r="J73" s="675" t="s">
        <v>657</v>
      </c>
      <c r="K73" s="677"/>
    </row>
    <row r="74" spans="1:11" ht="15.75">
      <c r="A74" s="41">
        <v>7</v>
      </c>
      <c r="B74" s="553" t="s">
        <v>59</v>
      </c>
      <c r="C74" s="552" t="s">
        <v>54</v>
      </c>
      <c r="D74" s="48">
        <v>5</v>
      </c>
      <c r="E74" s="42"/>
      <c r="F74" s="43"/>
      <c r="G74" s="42">
        <v>0.005</v>
      </c>
      <c r="H74" s="43"/>
      <c r="I74" s="44"/>
      <c r="J74" s="675" t="s">
        <v>657</v>
      </c>
      <c r="K74" s="677"/>
    </row>
    <row r="75" spans="1:11" ht="15.75">
      <c r="A75" s="41">
        <v>8</v>
      </c>
      <c r="B75" s="553" t="s">
        <v>60</v>
      </c>
      <c r="C75" s="552" t="s">
        <v>54</v>
      </c>
      <c r="D75" s="48">
        <v>15</v>
      </c>
      <c r="E75" s="42"/>
      <c r="F75" s="43"/>
      <c r="G75" s="42">
        <v>0.015</v>
      </c>
      <c r="H75" s="43"/>
      <c r="I75" s="44"/>
      <c r="J75" s="675" t="s">
        <v>657</v>
      </c>
      <c r="K75" s="677"/>
    </row>
    <row r="76" spans="1:11" ht="15.75">
      <c r="A76" s="41">
        <v>12</v>
      </c>
      <c r="B76" s="49" t="s">
        <v>511</v>
      </c>
      <c r="C76" s="47" t="s">
        <v>54</v>
      </c>
      <c r="D76" s="48">
        <v>70</v>
      </c>
      <c r="E76" s="42"/>
      <c r="F76" s="43"/>
      <c r="G76" s="42">
        <v>0.07</v>
      </c>
      <c r="H76" s="43"/>
      <c r="I76" s="44"/>
      <c r="J76" s="675" t="s">
        <v>657</v>
      </c>
      <c r="K76" s="677"/>
    </row>
  </sheetData>
  <autoFilter ref="A11:K43"/>
  <mergeCells count="25">
    <mergeCell ref="A7:J7"/>
    <mergeCell ref="H1:J1"/>
    <mergeCell ref="H2:J2"/>
    <mergeCell ref="H3:J3"/>
    <mergeCell ref="H4:J4"/>
    <mergeCell ref="A6:J6"/>
    <mergeCell ref="A9:A10"/>
    <mergeCell ref="B9:B10"/>
    <mergeCell ref="C9:C10"/>
    <mergeCell ref="D9:D10"/>
    <mergeCell ref="E9:F9"/>
    <mergeCell ref="J9:J10"/>
    <mergeCell ref="K9:K10"/>
    <mergeCell ref="B26:C26"/>
    <mergeCell ref="B55:C55"/>
    <mergeCell ref="B56:C56"/>
    <mergeCell ref="G9:I9"/>
    <mergeCell ref="G68:I68"/>
    <mergeCell ref="J68:J69"/>
    <mergeCell ref="K68:K69"/>
    <mergeCell ref="A68:A69"/>
    <mergeCell ref="B68:B69"/>
    <mergeCell ref="C68:C69"/>
    <mergeCell ref="D68:D69"/>
    <mergeCell ref="E68:F68"/>
  </mergeCells>
  <printOptions horizontalCentered="1"/>
  <pageMargins left="0.2362204724409449" right="0.2362204724409449" top="0.5905511811023623" bottom="0.748031496062992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  <pageSetUpPr fitToPage="1"/>
  </sheetPr>
  <dimension ref="A1:AG60"/>
  <sheetViews>
    <sheetView zoomScale="120" zoomScaleNormal="120" workbookViewId="0" topLeftCell="A36">
      <selection activeCell="D51" sqref="D51"/>
    </sheetView>
  </sheetViews>
  <sheetFormatPr defaultColWidth="9.00390625" defaultRowHeight="12.75"/>
  <cols>
    <col min="1" max="1" width="5.00390625" style="1042" customWidth="1"/>
    <col min="2" max="2" width="21.125" style="976" customWidth="1"/>
    <col min="3" max="3" width="10.25390625" style="976" customWidth="1"/>
    <col min="4" max="4" width="12.00390625" style="976" customWidth="1"/>
    <col min="5" max="6" width="12.625" style="976" customWidth="1"/>
    <col min="7" max="7" width="13.125" style="976" hidden="1" customWidth="1"/>
    <col min="8" max="8" width="10.125" style="976" hidden="1" customWidth="1"/>
    <col min="9" max="9" width="8.625" style="976" hidden="1" customWidth="1"/>
    <col min="10" max="10" width="9.625" style="1042" customWidth="1"/>
    <col min="11" max="11" width="9.375" style="976" customWidth="1"/>
    <col min="12" max="12" width="1.875" style="976" hidden="1" customWidth="1"/>
    <col min="13" max="13" width="11.00390625" style="976" customWidth="1"/>
    <col min="14" max="14" width="12.375" style="976" customWidth="1"/>
    <col min="15" max="15" width="25.00390625" style="1042" hidden="1" customWidth="1"/>
    <col min="16" max="16" width="11.75390625" style="976" hidden="1" customWidth="1"/>
    <col min="17" max="17" width="13.625" style="976" hidden="1" customWidth="1"/>
    <col min="18" max="18" width="13.375" style="976" hidden="1" customWidth="1"/>
    <col min="19" max="19" width="14.625" style="976" hidden="1" customWidth="1"/>
    <col min="20" max="20" width="13.375" style="976" hidden="1" customWidth="1"/>
    <col min="21" max="21" width="22.75390625" style="976" customWidth="1"/>
    <col min="22" max="22" width="9.125" style="976" customWidth="1"/>
    <col min="23" max="23" width="9.25390625" style="976" customWidth="1"/>
    <col min="24" max="24" width="8.375" style="976" customWidth="1"/>
    <col min="25" max="25" width="6.875" style="976" customWidth="1"/>
    <col min="26" max="26" width="6.75390625" style="976" customWidth="1"/>
    <col min="27" max="255" width="9.125" style="976" customWidth="1"/>
    <col min="256" max="256" width="5.00390625" style="976" customWidth="1"/>
    <col min="257" max="257" width="20.00390625" style="976" customWidth="1"/>
    <col min="258" max="259" width="6.25390625" style="976" customWidth="1"/>
    <col min="260" max="260" width="10.75390625" style="976" customWidth="1"/>
    <col min="261" max="261" width="8.875" style="976" customWidth="1"/>
    <col min="262" max="262" width="5.75390625" style="976" customWidth="1"/>
    <col min="263" max="263" width="10.125" style="976" customWidth="1"/>
    <col min="264" max="264" width="9.75390625" style="976" customWidth="1"/>
    <col min="265" max="265" width="8.75390625" style="976" customWidth="1"/>
    <col min="266" max="266" width="8.25390625" style="976" customWidth="1"/>
    <col min="267" max="267" width="9.125" style="976" customWidth="1"/>
    <col min="268" max="268" width="9.00390625" style="976" customWidth="1"/>
    <col min="269" max="269" width="12.25390625" style="976" customWidth="1"/>
    <col min="270" max="270" width="25.00390625" style="976" customWidth="1"/>
    <col min="271" max="271" width="11.75390625" style="976" customWidth="1"/>
    <col min="272" max="272" width="13.625" style="976" customWidth="1"/>
    <col min="273" max="273" width="13.375" style="976" customWidth="1"/>
    <col min="274" max="274" width="18.375" style="976" customWidth="1"/>
    <col min="275" max="275" width="9.125" style="976" customWidth="1"/>
    <col min="276" max="276" width="24.75390625" style="976" customWidth="1"/>
    <col min="277" max="511" width="9.125" style="976" customWidth="1"/>
    <col min="512" max="512" width="5.00390625" style="976" customWidth="1"/>
    <col min="513" max="513" width="20.00390625" style="976" customWidth="1"/>
    <col min="514" max="515" width="6.25390625" style="976" customWidth="1"/>
    <col min="516" max="516" width="10.75390625" style="976" customWidth="1"/>
    <col min="517" max="517" width="8.875" style="976" customWidth="1"/>
    <col min="518" max="518" width="5.75390625" style="976" customWidth="1"/>
    <col min="519" max="519" width="10.125" style="976" customWidth="1"/>
    <col min="520" max="520" width="9.75390625" style="976" customWidth="1"/>
    <col min="521" max="521" width="8.75390625" style="976" customWidth="1"/>
    <col min="522" max="522" width="8.25390625" style="976" customWidth="1"/>
    <col min="523" max="523" width="9.125" style="976" customWidth="1"/>
    <col min="524" max="524" width="9.00390625" style="976" customWidth="1"/>
    <col min="525" max="525" width="12.25390625" style="976" customWidth="1"/>
    <col min="526" max="526" width="25.00390625" style="976" customWidth="1"/>
    <col min="527" max="527" width="11.75390625" style="976" customWidth="1"/>
    <col min="528" max="528" width="13.625" style="976" customWidth="1"/>
    <col min="529" max="529" width="13.375" style="976" customWidth="1"/>
    <col min="530" max="530" width="18.375" style="976" customWidth="1"/>
    <col min="531" max="531" width="9.125" style="976" customWidth="1"/>
    <col min="532" max="532" width="24.75390625" style="976" customWidth="1"/>
    <col min="533" max="767" width="9.125" style="976" customWidth="1"/>
    <col min="768" max="768" width="5.00390625" style="976" customWidth="1"/>
    <col min="769" max="769" width="20.00390625" style="976" customWidth="1"/>
    <col min="770" max="771" width="6.25390625" style="976" customWidth="1"/>
    <col min="772" max="772" width="10.75390625" style="976" customWidth="1"/>
    <col min="773" max="773" width="8.875" style="976" customWidth="1"/>
    <col min="774" max="774" width="5.75390625" style="976" customWidth="1"/>
    <col min="775" max="775" width="10.125" style="976" customWidth="1"/>
    <col min="776" max="776" width="9.75390625" style="976" customWidth="1"/>
    <col min="777" max="777" width="8.75390625" style="976" customWidth="1"/>
    <col min="778" max="778" width="8.25390625" style="976" customWidth="1"/>
    <col min="779" max="779" width="9.125" style="976" customWidth="1"/>
    <col min="780" max="780" width="9.00390625" style="976" customWidth="1"/>
    <col min="781" max="781" width="12.25390625" style="976" customWidth="1"/>
    <col min="782" max="782" width="25.00390625" style="976" customWidth="1"/>
    <col min="783" max="783" width="11.75390625" style="976" customWidth="1"/>
    <col min="784" max="784" width="13.625" style="976" customWidth="1"/>
    <col min="785" max="785" width="13.375" style="976" customWidth="1"/>
    <col min="786" max="786" width="18.375" style="976" customWidth="1"/>
    <col min="787" max="787" width="9.125" style="976" customWidth="1"/>
    <col min="788" max="788" width="24.75390625" style="976" customWidth="1"/>
    <col min="789" max="1023" width="9.125" style="976" customWidth="1"/>
    <col min="1024" max="1024" width="5.00390625" style="976" customWidth="1"/>
    <col min="1025" max="1025" width="20.00390625" style="976" customWidth="1"/>
    <col min="1026" max="1027" width="6.25390625" style="976" customWidth="1"/>
    <col min="1028" max="1028" width="10.75390625" style="976" customWidth="1"/>
    <col min="1029" max="1029" width="8.875" style="976" customWidth="1"/>
    <col min="1030" max="1030" width="5.75390625" style="976" customWidth="1"/>
    <col min="1031" max="1031" width="10.125" style="976" customWidth="1"/>
    <col min="1032" max="1032" width="9.75390625" style="976" customWidth="1"/>
    <col min="1033" max="1033" width="8.75390625" style="976" customWidth="1"/>
    <col min="1034" max="1034" width="8.25390625" style="976" customWidth="1"/>
    <col min="1035" max="1035" width="9.125" style="976" customWidth="1"/>
    <col min="1036" max="1036" width="9.00390625" style="976" customWidth="1"/>
    <col min="1037" max="1037" width="12.25390625" style="976" customWidth="1"/>
    <col min="1038" max="1038" width="25.00390625" style="976" customWidth="1"/>
    <col min="1039" max="1039" width="11.75390625" style="976" customWidth="1"/>
    <col min="1040" max="1040" width="13.625" style="976" customWidth="1"/>
    <col min="1041" max="1041" width="13.375" style="976" customWidth="1"/>
    <col min="1042" max="1042" width="18.375" style="976" customWidth="1"/>
    <col min="1043" max="1043" width="9.125" style="976" customWidth="1"/>
    <col min="1044" max="1044" width="24.75390625" style="976" customWidth="1"/>
    <col min="1045" max="1279" width="9.125" style="976" customWidth="1"/>
    <col min="1280" max="1280" width="5.00390625" style="976" customWidth="1"/>
    <col min="1281" max="1281" width="20.00390625" style="976" customWidth="1"/>
    <col min="1282" max="1283" width="6.25390625" style="976" customWidth="1"/>
    <col min="1284" max="1284" width="10.75390625" style="976" customWidth="1"/>
    <col min="1285" max="1285" width="8.875" style="976" customWidth="1"/>
    <col min="1286" max="1286" width="5.75390625" style="976" customWidth="1"/>
    <col min="1287" max="1287" width="10.125" style="976" customWidth="1"/>
    <col min="1288" max="1288" width="9.75390625" style="976" customWidth="1"/>
    <col min="1289" max="1289" width="8.75390625" style="976" customWidth="1"/>
    <col min="1290" max="1290" width="8.25390625" style="976" customWidth="1"/>
    <col min="1291" max="1291" width="9.125" style="976" customWidth="1"/>
    <col min="1292" max="1292" width="9.00390625" style="976" customWidth="1"/>
    <col min="1293" max="1293" width="12.25390625" style="976" customWidth="1"/>
    <col min="1294" max="1294" width="25.00390625" style="976" customWidth="1"/>
    <col min="1295" max="1295" width="11.75390625" style="976" customWidth="1"/>
    <col min="1296" max="1296" width="13.625" style="976" customWidth="1"/>
    <col min="1297" max="1297" width="13.375" style="976" customWidth="1"/>
    <col min="1298" max="1298" width="18.375" style="976" customWidth="1"/>
    <col min="1299" max="1299" width="9.125" style="976" customWidth="1"/>
    <col min="1300" max="1300" width="24.75390625" style="976" customWidth="1"/>
    <col min="1301" max="1535" width="9.125" style="976" customWidth="1"/>
    <col min="1536" max="1536" width="5.00390625" style="976" customWidth="1"/>
    <col min="1537" max="1537" width="20.00390625" style="976" customWidth="1"/>
    <col min="1538" max="1539" width="6.25390625" style="976" customWidth="1"/>
    <col min="1540" max="1540" width="10.75390625" style="976" customWidth="1"/>
    <col min="1541" max="1541" width="8.875" style="976" customWidth="1"/>
    <col min="1542" max="1542" width="5.75390625" style="976" customWidth="1"/>
    <col min="1543" max="1543" width="10.125" style="976" customWidth="1"/>
    <col min="1544" max="1544" width="9.75390625" style="976" customWidth="1"/>
    <col min="1545" max="1545" width="8.75390625" style="976" customWidth="1"/>
    <col min="1546" max="1546" width="8.25390625" style="976" customWidth="1"/>
    <col min="1547" max="1547" width="9.125" style="976" customWidth="1"/>
    <col min="1548" max="1548" width="9.00390625" style="976" customWidth="1"/>
    <col min="1549" max="1549" width="12.25390625" style="976" customWidth="1"/>
    <col min="1550" max="1550" width="25.00390625" style="976" customWidth="1"/>
    <col min="1551" max="1551" width="11.75390625" style="976" customWidth="1"/>
    <col min="1552" max="1552" width="13.625" style="976" customWidth="1"/>
    <col min="1553" max="1553" width="13.375" style="976" customWidth="1"/>
    <col min="1554" max="1554" width="18.375" style="976" customWidth="1"/>
    <col min="1555" max="1555" width="9.125" style="976" customWidth="1"/>
    <col min="1556" max="1556" width="24.75390625" style="976" customWidth="1"/>
    <col min="1557" max="1791" width="9.125" style="976" customWidth="1"/>
    <col min="1792" max="1792" width="5.00390625" style="976" customWidth="1"/>
    <col min="1793" max="1793" width="20.00390625" style="976" customWidth="1"/>
    <col min="1794" max="1795" width="6.25390625" style="976" customWidth="1"/>
    <col min="1796" max="1796" width="10.75390625" style="976" customWidth="1"/>
    <col min="1797" max="1797" width="8.875" style="976" customWidth="1"/>
    <col min="1798" max="1798" width="5.75390625" style="976" customWidth="1"/>
    <col min="1799" max="1799" width="10.125" style="976" customWidth="1"/>
    <col min="1800" max="1800" width="9.75390625" style="976" customWidth="1"/>
    <col min="1801" max="1801" width="8.75390625" style="976" customWidth="1"/>
    <col min="1802" max="1802" width="8.25390625" style="976" customWidth="1"/>
    <col min="1803" max="1803" width="9.125" style="976" customWidth="1"/>
    <col min="1804" max="1804" width="9.00390625" style="976" customWidth="1"/>
    <col min="1805" max="1805" width="12.25390625" style="976" customWidth="1"/>
    <col min="1806" max="1806" width="25.00390625" style="976" customWidth="1"/>
    <col min="1807" max="1807" width="11.75390625" style="976" customWidth="1"/>
    <col min="1808" max="1808" width="13.625" style="976" customWidth="1"/>
    <col min="1809" max="1809" width="13.375" style="976" customWidth="1"/>
    <col min="1810" max="1810" width="18.375" style="976" customWidth="1"/>
    <col min="1811" max="1811" width="9.125" style="976" customWidth="1"/>
    <col min="1812" max="1812" width="24.75390625" style="976" customWidth="1"/>
    <col min="1813" max="2047" width="9.125" style="976" customWidth="1"/>
    <col min="2048" max="2048" width="5.00390625" style="976" customWidth="1"/>
    <col min="2049" max="2049" width="20.00390625" style="976" customWidth="1"/>
    <col min="2050" max="2051" width="6.25390625" style="976" customWidth="1"/>
    <col min="2052" max="2052" width="10.75390625" style="976" customWidth="1"/>
    <col min="2053" max="2053" width="8.875" style="976" customWidth="1"/>
    <col min="2054" max="2054" width="5.75390625" style="976" customWidth="1"/>
    <col min="2055" max="2055" width="10.125" style="976" customWidth="1"/>
    <col min="2056" max="2056" width="9.75390625" style="976" customWidth="1"/>
    <col min="2057" max="2057" width="8.75390625" style="976" customWidth="1"/>
    <col min="2058" max="2058" width="8.25390625" style="976" customWidth="1"/>
    <col min="2059" max="2059" width="9.125" style="976" customWidth="1"/>
    <col min="2060" max="2060" width="9.00390625" style="976" customWidth="1"/>
    <col min="2061" max="2061" width="12.25390625" style="976" customWidth="1"/>
    <col min="2062" max="2062" width="25.00390625" style="976" customWidth="1"/>
    <col min="2063" max="2063" width="11.75390625" style="976" customWidth="1"/>
    <col min="2064" max="2064" width="13.625" style="976" customWidth="1"/>
    <col min="2065" max="2065" width="13.375" style="976" customWidth="1"/>
    <col min="2066" max="2066" width="18.375" style="976" customWidth="1"/>
    <col min="2067" max="2067" width="9.125" style="976" customWidth="1"/>
    <col min="2068" max="2068" width="24.75390625" style="976" customWidth="1"/>
    <col min="2069" max="2303" width="9.125" style="976" customWidth="1"/>
    <col min="2304" max="2304" width="5.00390625" style="976" customWidth="1"/>
    <col min="2305" max="2305" width="20.00390625" style="976" customWidth="1"/>
    <col min="2306" max="2307" width="6.25390625" style="976" customWidth="1"/>
    <col min="2308" max="2308" width="10.75390625" style="976" customWidth="1"/>
    <col min="2309" max="2309" width="8.875" style="976" customWidth="1"/>
    <col min="2310" max="2310" width="5.75390625" style="976" customWidth="1"/>
    <col min="2311" max="2311" width="10.125" style="976" customWidth="1"/>
    <col min="2312" max="2312" width="9.75390625" style="976" customWidth="1"/>
    <col min="2313" max="2313" width="8.75390625" style="976" customWidth="1"/>
    <col min="2314" max="2314" width="8.25390625" style="976" customWidth="1"/>
    <col min="2315" max="2315" width="9.125" style="976" customWidth="1"/>
    <col min="2316" max="2316" width="9.00390625" style="976" customWidth="1"/>
    <col min="2317" max="2317" width="12.25390625" style="976" customWidth="1"/>
    <col min="2318" max="2318" width="25.00390625" style="976" customWidth="1"/>
    <col min="2319" max="2319" width="11.75390625" style="976" customWidth="1"/>
    <col min="2320" max="2320" width="13.625" style="976" customWidth="1"/>
    <col min="2321" max="2321" width="13.375" style="976" customWidth="1"/>
    <col min="2322" max="2322" width="18.375" style="976" customWidth="1"/>
    <col min="2323" max="2323" width="9.125" style="976" customWidth="1"/>
    <col min="2324" max="2324" width="24.75390625" style="976" customWidth="1"/>
    <col min="2325" max="2559" width="9.125" style="976" customWidth="1"/>
    <col min="2560" max="2560" width="5.00390625" style="976" customWidth="1"/>
    <col min="2561" max="2561" width="20.00390625" style="976" customWidth="1"/>
    <col min="2562" max="2563" width="6.25390625" style="976" customWidth="1"/>
    <col min="2564" max="2564" width="10.75390625" style="976" customWidth="1"/>
    <col min="2565" max="2565" width="8.875" style="976" customWidth="1"/>
    <col min="2566" max="2566" width="5.75390625" style="976" customWidth="1"/>
    <col min="2567" max="2567" width="10.125" style="976" customWidth="1"/>
    <col min="2568" max="2568" width="9.75390625" style="976" customWidth="1"/>
    <col min="2569" max="2569" width="8.75390625" style="976" customWidth="1"/>
    <col min="2570" max="2570" width="8.25390625" style="976" customWidth="1"/>
    <col min="2571" max="2571" width="9.125" style="976" customWidth="1"/>
    <col min="2572" max="2572" width="9.00390625" style="976" customWidth="1"/>
    <col min="2573" max="2573" width="12.25390625" style="976" customWidth="1"/>
    <col min="2574" max="2574" width="25.00390625" style="976" customWidth="1"/>
    <col min="2575" max="2575" width="11.75390625" style="976" customWidth="1"/>
    <col min="2576" max="2576" width="13.625" style="976" customWidth="1"/>
    <col min="2577" max="2577" width="13.375" style="976" customWidth="1"/>
    <col min="2578" max="2578" width="18.375" style="976" customWidth="1"/>
    <col min="2579" max="2579" width="9.125" style="976" customWidth="1"/>
    <col min="2580" max="2580" width="24.75390625" style="976" customWidth="1"/>
    <col min="2581" max="2815" width="9.125" style="976" customWidth="1"/>
    <col min="2816" max="2816" width="5.00390625" style="976" customWidth="1"/>
    <col min="2817" max="2817" width="20.00390625" style="976" customWidth="1"/>
    <col min="2818" max="2819" width="6.25390625" style="976" customWidth="1"/>
    <col min="2820" max="2820" width="10.75390625" style="976" customWidth="1"/>
    <col min="2821" max="2821" width="8.875" style="976" customWidth="1"/>
    <col min="2822" max="2822" width="5.75390625" style="976" customWidth="1"/>
    <col min="2823" max="2823" width="10.125" style="976" customWidth="1"/>
    <col min="2824" max="2824" width="9.75390625" style="976" customWidth="1"/>
    <col min="2825" max="2825" width="8.75390625" style="976" customWidth="1"/>
    <col min="2826" max="2826" width="8.25390625" style="976" customWidth="1"/>
    <col min="2827" max="2827" width="9.125" style="976" customWidth="1"/>
    <col min="2828" max="2828" width="9.00390625" style="976" customWidth="1"/>
    <col min="2829" max="2829" width="12.25390625" style="976" customWidth="1"/>
    <col min="2830" max="2830" width="25.00390625" style="976" customWidth="1"/>
    <col min="2831" max="2831" width="11.75390625" style="976" customWidth="1"/>
    <col min="2832" max="2832" width="13.625" style="976" customWidth="1"/>
    <col min="2833" max="2833" width="13.375" style="976" customWidth="1"/>
    <col min="2834" max="2834" width="18.375" style="976" customWidth="1"/>
    <col min="2835" max="2835" width="9.125" style="976" customWidth="1"/>
    <col min="2836" max="2836" width="24.75390625" style="976" customWidth="1"/>
    <col min="2837" max="3071" width="9.125" style="976" customWidth="1"/>
    <col min="3072" max="3072" width="5.00390625" style="976" customWidth="1"/>
    <col min="3073" max="3073" width="20.00390625" style="976" customWidth="1"/>
    <col min="3074" max="3075" width="6.25390625" style="976" customWidth="1"/>
    <col min="3076" max="3076" width="10.75390625" style="976" customWidth="1"/>
    <col min="3077" max="3077" width="8.875" style="976" customWidth="1"/>
    <col min="3078" max="3078" width="5.75390625" style="976" customWidth="1"/>
    <col min="3079" max="3079" width="10.125" style="976" customWidth="1"/>
    <col min="3080" max="3080" width="9.75390625" style="976" customWidth="1"/>
    <col min="3081" max="3081" width="8.75390625" style="976" customWidth="1"/>
    <col min="3082" max="3082" width="8.25390625" style="976" customWidth="1"/>
    <col min="3083" max="3083" width="9.125" style="976" customWidth="1"/>
    <col min="3084" max="3084" width="9.00390625" style="976" customWidth="1"/>
    <col min="3085" max="3085" width="12.25390625" style="976" customWidth="1"/>
    <col min="3086" max="3086" width="25.00390625" style="976" customWidth="1"/>
    <col min="3087" max="3087" width="11.75390625" style="976" customWidth="1"/>
    <col min="3088" max="3088" width="13.625" style="976" customWidth="1"/>
    <col min="3089" max="3089" width="13.375" style="976" customWidth="1"/>
    <col min="3090" max="3090" width="18.375" style="976" customWidth="1"/>
    <col min="3091" max="3091" width="9.125" style="976" customWidth="1"/>
    <col min="3092" max="3092" width="24.75390625" style="976" customWidth="1"/>
    <col min="3093" max="3327" width="9.125" style="976" customWidth="1"/>
    <col min="3328" max="3328" width="5.00390625" style="976" customWidth="1"/>
    <col min="3329" max="3329" width="20.00390625" style="976" customWidth="1"/>
    <col min="3330" max="3331" width="6.25390625" style="976" customWidth="1"/>
    <col min="3332" max="3332" width="10.75390625" style="976" customWidth="1"/>
    <col min="3333" max="3333" width="8.875" style="976" customWidth="1"/>
    <col min="3334" max="3334" width="5.75390625" style="976" customWidth="1"/>
    <col min="3335" max="3335" width="10.125" style="976" customWidth="1"/>
    <col min="3336" max="3336" width="9.75390625" style="976" customWidth="1"/>
    <col min="3337" max="3337" width="8.75390625" style="976" customWidth="1"/>
    <col min="3338" max="3338" width="8.25390625" style="976" customWidth="1"/>
    <col min="3339" max="3339" width="9.125" style="976" customWidth="1"/>
    <col min="3340" max="3340" width="9.00390625" style="976" customWidth="1"/>
    <col min="3341" max="3341" width="12.25390625" style="976" customWidth="1"/>
    <col min="3342" max="3342" width="25.00390625" style="976" customWidth="1"/>
    <col min="3343" max="3343" width="11.75390625" style="976" customWidth="1"/>
    <col min="3344" max="3344" width="13.625" style="976" customWidth="1"/>
    <col min="3345" max="3345" width="13.375" style="976" customWidth="1"/>
    <col min="3346" max="3346" width="18.375" style="976" customWidth="1"/>
    <col min="3347" max="3347" width="9.125" style="976" customWidth="1"/>
    <col min="3348" max="3348" width="24.75390625" style="976" customWidth="1"/>
    <col min="3349" max="3583" width="9.125" style="976" customWidth="1"/>
    <col min="3584" max="3584" width="5.00390625" style="976" customWidth="1"/>
    <col min="3585" max="3585" width="20.00390625" style="976" customWidth="1"/>
    <col min="3586" max="3587" width="6.25390625" style="976" customWidth="1"/>
    <col min="3588" max="3588" width="10.75390625" style="976" customWidth="1"/>
    <col min="3589" max="3589" width="8.875" style="976" customWidth="1"/>
    <col min="3590" max="3590" width="5.75390625" style="976" customWidth="1"/>
    <col min="3591" max="3591" width="10.125" style="976" customWidth="1"/>
    <col min="3592" max="3592" width="9.75390625" style="976" customWidth="1"/>
    <col min="3593" max="3593" width="8.75390625" style="976" customWidth="1"/>
    <col min="3594" max="3594" width="8.25390625" style="976" customWidth="1"/>
    <col min="3595" max="3595" width="9.125" style="976" customWidth="1"/>
    <col min="3596" max="3596" width="9.00390625" style="976" customWidth="1"/>
    <col min="3597" max="3597" width="12.25390625" style="976" customWidth="1"/>
    <col min="3598" max="3598" width="25.00390625" style="976" customWidth="1"/>
    <col min="3599" max="3599" width="11.75390625" style="976" customWidth="1"/>
    <col min="3600" max="3600" width="13.625" style="976" customWidth="1"/>
    <col min="3601" max="3601" width="13.375" style="976" customWidth="1"/>
    <col min="3602" max="3602" width="18.375" style="976" customWidth="1"/>
    <col min="3603" max="3603" width="9.125" style="976" customWidth="1"/>
    <col min="3604" max="3604" width="24.75390625" style="976" customWidth="1"/>
    <col min="3605" max="3839" width="9.125" style="976" customWidth="1"/>
    <col min="3840" max="3840" width="5.00390625" style="976" customWidth="1"/>
    <col min="3841" max="3841" width="20.00390625" style="976" customWidth="1"/>
    <col min="3842" max="3843" width="6.25390625" style="976" customWidth="1"/>
    <col min="3844" max="3844" width="10.75390625" style="976" customWidth="1"/>
    <col min="3845" max="3845" width="8.875" style="976" customWidth="1"/>
    <col min="3846" max="3846" width="5.75390625" style="976" customWidth="1"/>
    <col min="3847" max="3847" width="10.125" style="976" customWidth="1"/>
    <col min="3848" max="3848" width="9.75390625" style="976" customWidth="1"/>
    <col min="3849" max="3849" width="8.75390625" style="976" customWidth="1"/>
    <col min="3850" max="3850" width="8.25390625" style="976" customWidth="1"/>
    <col min="3851" max="3851" width="9.125" style="976" customWidth="1"/>
    <col min="3852" max="3852" width="9.00390625" style="976" customWidth="1"/>
    <col min="3853" max="3853" width="12.25390625" style="976" customWidth="1"/>
    <col min="3854" max="3854" width="25.00390625" style="976" customWidth="1"/>
    <col min="3855" max="3855" width="11.75390625" style="976" customWidth="1"/>
    <col min="3856" max="3856" width="13.625" style="976" customWidth="1"/>
    <col min="3857" max="3857" width="13.375" style="976" customWidth="1"/>
    <col min="3858" max="3858" width="18.375" style="976" customWidth="1"/>
    <col min="3859" max="3859" width="9.125" style="976" customWidth="1"/>
    <col min="3860" max="3860" width="24.75390625" style="976" customWidth="1"/>
    <col min="3861" max="4095" width="9.125" style="976" customWidth="1"/>
    <col min="4096" max="4096" width="5.00390625" style="976" customWidth="1"/>
    <col min="4097" max="4097" width="20.00390625" style="976" customWidth="1"/>
    <col min="4098" max="4099" width="6.25390625" style="976" customWidth="1"/>
    <col min="4100" max="4100" width="10.75390625" style="976" customWidth="1"/>
    <col min="4101" max="4101" width="8.875" style="976" customWidth="1"/>
    <col min="4102" max="4102" width="5.75390625" style="976" customWidth="1"/>
    <col min="4103" max="4103" width="10.125" style="976" customWidth="1"/>
    <col min="4104" max="4104" width="9.75390625" style="976" customWidth="1"/>
    <col min="4105" max="4105" width="8.75390625" style="976" customWidth="1"/>
    <col min="4106" max="4106" width="8.25390625" style="976" customWidth="1"/>
    <col min="4107" max="4107" width="9.125" style="976" customWidth="1"/>
    <col min="4108" max="4108" width="9.00390625" style="976" customWidth="1"/>
    <col min="4109" max="4109" width="12.25390625" style="976" customWidth="1"/>
    <col min="4110" max="4110" width="25.00390625" style="976" customWidth="1"/>
    <col min="4111" max="4111" width="11.75390625" style="976" customWidth="1"/>
    <col min="4112" max="4112" width="13.625" style="976" customWidth="1"/>
    <col min="4113" max="4113" width="13.375" style="976" customWidth="1"/>
    <col min="4114" max="4114" width="18.375" style="976" customWidth="1"/>
    <col min="4115" max="4115" width="9.125" style="976" customWidth="1"/>
    <col min="4116" max="4116" width="24.75390625" style="976" customWidth="1"/>
    <col min="4117" max="4351" width="9.125" style="976" customWidth="1"/>
    <col min="4352" max="4352" width="5.00390625" style="976" customWidth="1"/>
    <col min="4353" max="4353" width="20.00390625" style="976" customWidth="1"/>
    <col min="4354" max="4355" width="6.25390625" style="976" customWidth="1"/>
    <col min="4356" max="4356" width="10.75390625" style="976" customWidth="1"/>
    <col min="4357" max="4357" width="8.875" style="976" customWidth="1"/>
    <col min="4358" max="4358" width="5.75390625" style="976" customWidth="1"/>
    <col min="4359" max="4359" width="10.125" style="976" customWidth="1"/>
    <col min="4360" max="4360" width="9.75390625" style="976" customWidth="1"/>
    <col min="4361" max="4361" width="8.75390625" style="976" customWidth="1"/>
    <col min="4362" max="4362" width="8.25390625" style="976" customWidth="1"/>
    <col min="4363" max="4363" width="9.125" style="976" customWidth="1"/>
    <col min="4364" max="4364" width="9.00390625" style="976" customWidth="1"/>
    <col min="4365" max="4365" width="12.25390625" style="976" customWidth="1"/>
    <col min="4366" max="4366" width="25.00390625" style="976" customWidth="1"/>
    <col min="4367" max="4367" width="11.75390625" style="976" customWidth="1"/>
    <col min="4368" max="4368" width="13.625" style="976" customWidth="1"/>
    <col min="4369" max="4369" width="13.375" style="976" customWidth="1"/>
    <col min="4370" max="4370" width="18.375" style="976" customWidth="1"/>
    <col min="4371" max="4371" width="9.125" style="976" customWidth="1"/>
    <col min="4372" max="4372" width="24.75390625" style="976" customWidth="1"/>
    <col min="4373" max="4607" width="9.125" style="976" customWidth="1"/>
    <col min="4608" max="4608" width="5.00390625" style="976" customWidth="1"/>
    <col min="4609" max="4609" width="20.00390625" style="976" customWidth="1"/>
    <col min="4610" max="4611" width="6.25390625" style="976" customWidth="1"/>
    <col min="4612" max="4612" width="10.75390625" style="976" customWidth="1"/>
    <col min="4613" max="4613" width="8.875" style="976" customWidth="1"/>
    <col min="4614" max="4614" width="5.75390625" style="976" customWidth="1"/>
    <col min="4615" max="4615" width="10.125" style="976" customWidth="1"/>
    <col min="4616" max="4616" width="9.75390625" style="976" customWidth="1"/>
    <col min="4617" max="4617" width="8.75390625" style="976" customWidth="1"/>
    <col min="4618" max="4618" width="8.25390625" style="976" customWidth="1"/>
    <col min="4619" max="4619" width="9.125" style="976" customWidth="1"/>
    <col min="4620" max="4620" width="9.00390625" style="976" customWidth="1"/>
    <col min="4621" max="4621" width="12.25390625" style="976" customWidth="1"/>
    <col min="4622" max="4622" width="25.00390625" style="976" customWidth="1"/>
    <col min="4623" max="4623" width="11.75390625" style="976" customWidth="1"/>
    <col min="4624" max="4624" width="13.625" style="976" customWidth="1"/>
    <col min="4625" max="4625" width="13.375" style="976" customWidth="1"/>
    <col min="4626" max="4626" width="18.375" style="976" customWidth="1"/>
    <col min="4627" max="4627" width="9.125" style="976" customWidth="1"/>
    <col min="4628" max="4628" width="24.75390625" style="976" customWidth="1"/>
    <col min="4629" max="4863" width="9.125" style="976" customWidth="1"/>
    <col min="4864" max="4864" width="5.00390625" style="976" customWidth="1"/>
    <col min="4865" max="4865" width="20.00390625" style="976" customWidth="1"/>
    <col min="4866" max="4867" width="6.25390625" style="976" customWidth="1"/>
    <col min="4868" max="4868" width="10.75390625" style="976" customWidth="1"/>
    <col min="4869" max="4869" width="8.875" style="976" customWidth="1"/>
    <col min="4870" max="4870" width="5.75390625" style="976" customWidth="1"/>
    <col min="4871" max="4871" width="10.125" style="976" customWidth="1"/>
    <col min="4872" max="4872" width="9.75390625" style="976" customWidth="1"/>
    <col min="4873" max="4873" width="8.75390625" style="976" customWidth="1"/>
    <col min="4874" max="4874" width="8.25390625" style="976" customWidth="1"/>
    <col min="4875" max="4875" width="9.125" style="976" customWidth="1"/>
    <col min="4876" max="4876" width="9.00390625" style="976" customWidth="1"/>
    <col min="4877" max="4877" width="12.25390625" style="976" customWidth="1"/>
    <col min="4878" max="4878" width="25.00390625" style="976" customWidth="1"/>
    <col min="4879" max="4879" width="11.75390625" style="976" customWidth="1"/>
    <col min="4880" max="4880" width="13.625" style="976" customWidth="1"/>
    <col min="4881" max="4881" width="13.375" style="976" customWidth="1"/>
    <col min="4882" max="4882" width="18.375" style="976" customWidth="1"/>
    <col min="4883" max="4883" width="9.125" style="976" customWidth="1"/>
    <col min="4884" max="4884" width="24.75390625" style="976" customWidth="1"/>
    <col min="4885" max="5119" width="9.125" style="976" customWidth="1"/>
    <col min="5120" max="5120" width="5.00390625" style="976" customWidth="1"/>
    <col min="5121" max="5121" width="20.00390625" style="976" customWidth="1"/>
    <col min="5122" max="5123" width="6.25390625" style="976" customWidth="1"/>
    <col min="5124" max="5124" width="10.75390625" style="976" customWidth="1"/>
    <col min="5125" max="5125" width="8.875" style="976" customWidth="1"/>
    <col min="5126" max="5126" width="5.75390625" style="976" customWidth="1"/>
    <col min="5127" max="5127" width="10.125" style="976" customWidth="1"/>
    <col min="5128" max="5128" width="9.75390625" style="976" customWidth="1"/>
    <col min="5129" max="5129" width="8.75390625" style="976" customWidth="1"/>
    <col min="5130" max="5130" width="8.25390625" style="976" customWidth="1"/>
    <col min="5131" max="5131" width="9.125" style="976" customWidth="1"/>
    <col min="5132" max="5132" width="9.00390625" style="976" customWidth="1"/>
    <col min="5133" max="5133" width="12.25390625" style="976" customWidth="1"/>
    <col min="5134" max="5134" width="25.00390625" style="976" customWidth="1"/>
    <col min="5135" max="5135" width="11.75390625" style="976" customWidth="1"/>
    <col min="5136" max="5136" width="13.625" style="976" customWidth="1"/>
    <col min="5137" max="5137" width="13.375" style="976" customWidth="1"/>
    <col min="5138" max="5138" width="18.375" style="976" customWidth="1"/>
    <col min="5139" max="5139" width="9.125" style="976" customWidth="1"/>
    <col min="5140" max="5140" width="24.75390625" style="976" customWidth="1"/>
    <col min="5141" max="5375" width="9.125" style="976" customWidth="1"/>
    <col min="5376" max="5376" width="5.00390625" style="976" customWidth="1"/>
    <col min="5377" max="5377" width="20.00390625" style="976" customWidth="1"/>
    <col min="5378" max="5379" width="6.25390625" style="976" customWidth="1"/>
    <col min="5380" max="5380" width="10.75390625" style="976" customWidth="1"/>
    <col min="5381" max="5381" width="8.875" style="976" customWidth="1"/>
    <col min="5382" max="5382" width="5.75390625" style="976" customWidth="1"/>
    <col min="5383" max="5383" width="10.125" style="976" customWidth="1"/>
    <col min="5384" max="5384" width="9.75390625" style="976" customWidth="1"/>
    <col min="5385" max="5385" width="8.75390625" style="976" customWidth="1"/>
    <col min="5386" max="5386" width="8.25390625" style="976" customWidth="1"/>
    <col min="5387" max="5387" width="9.125" style="976" customWidth="1"/>
    <col min="5388" max="5388" width="9.00390625" style="976" customWidth="1"/>
    <col min="5389" max="5389" width="12.25390625" style="976" customWidth="1"/>
    <col min="5390" max="5390" width="25.00390625" style="976" customWidth="1"/>
    <col min="5391" max="5391" width="11.75390625" style="976" customWidth="1"/>
    <col min="5392" max="5392" width="13.625" style="976" customWidth="1"/>
    <col min="5393" max="5393" width="13.375" style="976" customWidth="1"/>
    <col min="5394" max="5394" width="18.375" style="976" customWidth="1"/>
    <col min="5395" max="5395" width="9.125" style="976" customWidth="1"/>
    <col min="5396" max="5396" width="24.75390625" style="976" customWidth="1"/>
    <col min="5397" max="5631" width="9.125" style="976" customWidth="1"/>
    <col min="5632" max="5632" width="5.00390625" style="976" customWidth="1"/>
    <col min="5633" max="5633" width="20.00390625" style="976" customWidth="1"/>
    <col min="5634" max="5635" width="6.25390625" style="976" customWidth="1"/>
    <col min="5636" max="5636" width="10.75390625" style="976" customWidth="1"/>
    <col min="5637" max="5637" width="8.875" style="976" customWidth="1"/>
    <col min="5638" max="5638" width="5.75390625" style="976" customWidth="1"/>
    <col min="5639" max="5639" width="10.125" style="976" customWidth="1"/>
    <col min="5640" max="5640" width="9.75390625" style="976" customWidth="1"/>
    <col min="5641" max="5641" width="8.75390625" style="976" customWidth="1"/>
    <col min="5642" max="5642" width="8.25390625" style="976" customWidth="1"/>
    <col min="5643" max="5643" width="9.125" style="976" customWidth="1"/>
    <col min="5644" max="5644" width="9.00390625" style="976" customWidth="1"/>
    <col min="5645" max="5645" width="12.25390625" style="976" customWidth="1"/>
    <col min="5646" max="5646" width="25.00390625" style="976" customWidth="1"/>
    <col min="5647" max="5647" width="11.75390625" style="976" customWidth="1"/>
    <col min="5648" max="5648" width="13.625" style="976" customWidth="1"/>
    <col min="5649" max="5649" width="13.375" style="976" customWidth="1"/>
    <col min="5650" max="5650" width="18.375" style="976" customWidth="1"/>
    <col min="5651" max="5651" width="9.125" style="976" customWidth="1"/>
    <col min="5652" max="5652" width="24.75390625" style="976" customWidth="1"/>
    <col min="5653" max="5887" width="9.125" style="976" customWidth="1"/>
    <col min="5888" max="5888" width="5.00390625" style="976" customWidth="1"/>
    <col min="5889" max="5889" width="20.00390625" style="976" customWidth="1"/>
    <col min="5890" max="5891" width="6.25390625" style="976" customWidth="1"/>
    <col min="5892" max="5892" width="10.75390625" style="976" customWidth="1"/>
    <col min="5893" max="5893" width="8.875" style="976" customWidth="1"/>
    <col min="5894" max="5894" width="5.75390625" style="976" customWidth="1"/>
    <col min="5895" max="5895" width="10.125" style="976" customWidth="1"/>
    <col min="5896" max="5896" width="9.75390625" style="976" customWidth="1"/>
    <col min="5897" max="5897" width="8.75390625" style="976" customWidth="1"/>
    <col min="5898" max="5898" width="8.25390625" style="976" customWidth="1"/>
    <col min="5899" max="5899" width="9.125" style="976" customWidth="1"/>
    <col min="5900" max="5900" width="9.00390625" style="976" customWidth="1"/>
    <col min="5901" max="5901" width="12.25390625" style="976" customWidth="1"/>
    <col min="5902" max="5902" width="25.00390625" style="976" customWidth="1"/>
    <col min="5903" max="5903" width="11.75390625" style="976" customWidth="1"/>
    <col min="5904" max="5904" width="13.625" style="976" customWidth="1"/>
    <col min="5905" max="5905" width="13.375" style="976" customWidth="1"/>
    <col min="5906" max="5906" width="18.375" style="976" customWidth="1"/>
    <col min="5907" max="5907" width="9.125" style="976" customWidth="1"/>
    <col min="5908" max="5908" width="24.75390625" style="976" customWidth="1"/>
    <col min="5909" max="6143" width="9.125" style="976" customWidth="1"/>
    <col min="6144" max="6144" width="5.00390625" style="976" customWidth="1"/>
    <col min="6145" max="6145" width="20.00390625" style="976" customWidth="1"/>
    <col min="6146" max="6147" width="6.25390625" style="976" customWidth="1"/>
    <col min="6148" max="6148" width="10.75390625" style="976" customWidth="1"/>
    <col min="6149" max="6149" width="8.875" style="976" customWidth="1"/>
    <col min="6150" max="6150" width="5.75390625" style="976" customWidth="1"/>
    <col min="6151" max="6151" width="10.125" style="976" customWidth="1"/>
    <col min="6152" max="6152" width="9.75390625" style="976" customWidth="1"/>
    <col min="6153" max="6153" width="8.75390625" style="976" customWidth="1"/>
    <col min="6154" max="6154" width="8.25390625" style="976" customWidth="1"/>
    <col min="6155" max="6155" width="9.125" style="976" customWidth="1"/>
    <col min="6156" max="6156" width="9.00390625" style="976" customWidth="1"/>
    <col min="6157" max="6157" width="12.25390625" style="976" customWidth="1"/>
    <col min="6158" max="6158" width="25.00390625" style="976" customWidth="1"/>
    <col min="6159" max="6159" width="11.75390625" style="976" customWidth="1"/>
    <col min="6160" max="6160" width="13.625" style="976" customWidth="1"/>
    <col min="6161" max="6161" width="13.375" style="976" customWidth="1"/>
    <col min="6162" max="6162" width="18.375" style="976" customWidth="1"/>
    <col min="6163" max="6163" width="9.125" style="976" customWidth="1"/>
    <col min="6164" max="6164" width="24.75390625" style="976" customWidth="1"/>
    <col min="6165" max="6399" width="9.125" style="976" customWidth="1"/>
    <col min="6400" max="6400" width="5.00390625" style="976" customWidth="1"/>
    <col min="6401" max="6401" width="20.00390625" style="976" customWidth="1"/>
    <col min="6402" max="6403" width="6.25390625" style="976" customWidth="1"/>
    <col min="6404" max="6404" width="10.75390625" style="976" customWidth="1"/>
    <col min="6405" max="6405" width="8.875" style="976" customWidth="1"/>
    <col min="6406" max="6406" width="5.75390625" style="976" customWidth="1"/>
    <col min="6407" max="6407" width="10.125" style="976" customWidth="1"/>
    <col min="6408" max="6408" width="9.75390625" style="976" customWidth="1"/>
    <col min="6409" max="6409" width="8.75390625" style="976" customWidth="1"/>
    <col min="6410" max="6410" width="8.25390625" style="976" customWidth="1"/>
    <col min="6411" max="6411" width="9.125" style="976" customWidth="1"/>
    <col min="6412" max="6412" width="9.00390625" style="976" customWidth="1"/>
    <col min="6413" max="6413" width="12.25390625" style="976" customWidth="1"/>
    <col min="6414" max="6414" width="25.00390625" style="976" customWidth="1"/>
    <col min="6415" max="6415" width="11.75390625" style="976" customWidth="1"/>
    <col min="6416" max="6416" width="13.625" style="976" customWidth="1"/>
    <col min="6417" max="6417" width="13.375" style="976" customWidth="1"/>
    <col min="6418" max="6418" width="18.375" style="976" customWidth="1"/>
    <col min="6419" max="6419" width="9.125" style="976" customWidth="1"/>
    <col min="6420" max="6420" width="24.75390625" style="976" customWidth="1"/>
    <col min="6421" max="6655" width="9.125" style="976" customWidth="1"/>
    <col min="6656" max="6656" width="5.00390625" style="976" customWidth="1"/>
    <col min="6657" max="6657" width="20.00390625" style="976" customWidth="1"/>
    <col min="6658" max="6659" width="6.25390625" style="976" customWidth="1"/>
    <col min="6660" max="6660" width="10.75390625" style="976" customWidth="1"/>
    <col min="6661" max="6661" width="8.875" style="976" customWidth="1"/>
    <col min="6662" max="6662" width="5.75390625" style="976" customWidth="1"/>
    <col min="6663" max="6663" width="10.125" style="976" customWidth="1"/>
    <col min="6664" max="6664" width="9.75390625" style="976" customWidth="1"/>
    <col min="6665" max="6665" width="8.75390625" style="976" customWidth="1"/>
    <col min="6666" max="6666" width="8.25390625" style="976" customWidth="1"/>
    <col min="6667" max="6667" width="9.125" style="976" customWidth="1"/>
    <col min="6668" max="6668" width="9.00390625" style="976" customWidth="1"/>
    <col min="6669" max="6669" width="12.25390625" style="976" customWidth="1"/>
    <col min="6670" max="6670" width="25.00390625" style="976" customWidth="1"/>
    <col min="6671" max="6671" width="11.75390625" style="976" customWidth="1"/>
    <col min="6672" max="6672" width="13.625" style="976" customWidth="1"/>
    <col min="6673" max="6673" width="13.375" style="976" customWidth="1"/>
    <col min="6674" max="6674" width="18.375" style="976" customWidth="1"/>
    <col min="6675" max="6675" width="9.125" style="976" customWidth="1"/>
    <col min="6676" max="6676" width="24.75390625" style="976" customWidth="1"/>
    <col min="6677" max="6911" width="9.125" style="976" customWidth="1"/>
    <col min="6912" max="6912" width="5.00390625" style="976" customWidth="1"/>
    <col min="6913" max="6913" width="20.00390625" style="976" customWidth="1"/>
    <col min="6914" max="6915" width="6.25390625" style="976" customWidth="1"/>
    <col min="6916" max="6916" width="10.75390625" style="976" customWidth="1"/>
    <col min="6917" max="6917" width="8.875" style="976" customWidth="1"/>
    <col min="6918" max="6918" width="5.75390625" style="976" customWidth="1"/>
    <col min="6919" max="6919" width="10.125" style="976" customWidth="1"/>
    <col min="6920" max="6920" width="9.75390625" style="976" customWidth="1"/>
    <col min="6921" max="6921" width="8.75390625" style="976" customWidth="1"/>
    <col min="6922" max="6922" width="8.25390625" style="976" customWidth="1"/>
    <col min="6923" max="6923" width="9.125" style="976" customWidth="1"/>
    <col min="6924" max="6924" width="9.00390625" style="976" customWidth="1"/>
    <col min="6925" max="6925" width="12.25390625" style="976" customWidth="1"/>
    <col min="6926" max="6926" width="25.00390625" style="976" customWidth="1"/>
    <col min="6927" max="6927" width="11.75390625" style="976" customWidth="1"/>
    <col min="6928" max="6928" width="13.625" style="976" customWidth="1"/>
    <col min="6929" max="6929" width="13.375" style="976" customWidth="1"/>
    <col min="6930" max="6930" width="18.375" style="976" customWidth="1"/>
    <col min="6931" max="6931" width="9.125" style="976" customWidth="1"/>
    <col min="6932" max="6932" width="24.75390625" style="976" customWidth="1"/>
    <col min="6933" max="7167" width="9.125" style="976" customWidth="1"/>
    <col min="7168" max="7168" width="5.00390625" style="976" customWidth="1"/>
    <col min="7169" max="7169" width="20.00390625" style="976" customWidth="1"/>
    <col min="7170" max="7171" width="6.25390625" style="976" customWidth="1"/>
    <col min="7172" max="7172" width="10.75390625" style="976" customWidth="1"/>
    <col min="7173" max="7173" width="8.875" style="976" customWidth="1"/>
    <col min="7174" max="7174" width="5.75390625" style="976" customWidth="1"/>
    <col min="7175" max="7175" width="10.125" style="976" customWidth="1"/>
    <col min="7176" max="7176" width="9.75390625" style="976" customWidth="1"/>
    <col min="7177" max="7177" width="8.75390625" style="976" customWidth="1"/>
    <col min="7178" max="7178" width="8.25390625" style="976" customWidth="1"/>
    <col min="7179" max="7179" width="9.125" style="976" customWidth="1"/>
    <col min="7180" max="7180" width="9.00390625" style="976" customWidth="1"/>
    <col min="7181" max="7181" width="12.25390625" style="976" customWidth="1"/>
    <col min="7182" max="7182" width="25.00390625" style="976" customWidth="1"/>
    <col min="7183" max="7183" width="11.75390625" style="976" customWidth="1"/>
    <col min="7184" max="7184" width="13.625" style="976" customWidth="1"/>
    <col min="7185" max="7185" width="13.375" style="976" customWidth="1"/>
    <col min="7186" max="7186" width="18.375" style="976" customWidth="1"/>
    <col min="7187" max="7187" width="9.125" style="976" customWidth="1"/>
    <col min="7188" max="7188" width="24.75390625" style="976" customWidth="1"/>
    <col min="7189" max="7423" width="9.125" style="976" customWidth="1"/>
    <col min="7424" max="7424" width="5.00390625" style="976" customWidth="1"/>
    <col min="7425" max="7425" width="20.00390625" style="976" customWidth="1"/>
    <col min="7426" max="7427" width="6.25390625" style="976" customWidth="1"/>
    <col min="7428" max="7428" width="10.75390625" style="976" customWidth="1"/>
    <col min="7429" max="7429" width="8.875" style="976" customWidth="1"/>
    <col min="7430" max="7430" width="5.75390625" style="976" customWidth="1"/>
    <col min="7431" max="7431" width="10.125" style="976" customWidth="1"/>
    <col min="7432" max="7432" width="9.75390625" style="976" customWidth="1"/>
    <col min="7433" max="7433" width="8.75390625" style="976" customWidth="1"/>
    <col min="7434" max="7434" width="8.25390625" style="976" customWidth="1"/>
    <col min="7435" max="7435" width="9.125" style="976" customWidth="1"/>
    <col min="7436" max="7436" width="9.00390625" style="976" customWidth="1"/>
    <col min="7437" max="7437" width="12.25390625" style="976" customWidth="1"/>
    <col min="7438" max="7438" width="25.00390625" style="976" customWidth="1"/>
    <col min="7439" max="7439" width="11.75390625" style="976" customWidth="1"/>
    <col min="7440" max="7440" width="13.625" style="976" customWidth="1"/>
    <col min="7441" max="7441" width="13.375" style="976" customWidth="1"/>
    <col min="7442" max="7442" width="18.375" style="976" customWidth="1"/>
    <col min="7443" max="7443" width="9.125" style="976" customWidth="1"/>
    <col min="7444" max="7444" width="24.75390625" style="976" customWidth="1"/>
    <col min="7445" max="7679" width="9.125" style="976" customWidth="1"/>
    <col min="7680" max="7680" width="5.00390625" style="976" customWidth="1"/>
    <col min="7681" max="7681" width="20.00390625" style="976" customWidth="1"/>
    <col min="7682" max="7683" width="6.25390625" style="976" customWidth="1"/>
    <col min="7684" max="7684" width="10.75390625" style="976" customWidth="1"/>
    <col min="7685" max="7685" width="8.875" style="976" customWidth="1"/>
    <col min="7686" max="7686" width="5.75390625" style="976" customWidth="1"/>
    <col min="7687" max="7687" width="10.125" style="976" customWidth="1"/>
    <col min="7688" max="7688" width="9.75390625" style="976" customWidth="1"/>
    <col min="7689" max="7689" width="8.75390625" style="976" customWidth="1"/>
    <col min="7690" max="7690" width="8.25390625" style="976" customWidth="1"/>
    <col min="7691" max="7691" width="9.125" style="976" customWidth="1"/>
    <col min="7692" max="7692" width="9.00390625" style="976" customWidth="1"/>
    <col min="7693" max="7693" width="12.25390625" style="976" customWidth="1"/>
    <col min="7694" max="7694" width="25.00390625" style="976" customWidth="1"/>
    <col min="7695" max="7695" width="11.75390625" style="976" customWidth="1"/>
    <col min="7696" max="7696" width="13.625" style="976" customWidth="1"/>
    <col min="7697" max="7697" width="13.375" style="976" customWidth="1"/>
    <col min="7698" max="7698" width="18.375" style="976" customWidth="1"/>
    <col min="7699" max="7699" width="9.125" style="976" customWidth="1"/>
    <col min="7700" max="7700" width="24.75390625" style="976" customWidth="1"/>
    <col min="7701" max="7935" width="9.125" style="976" customWidth="1"/>
    <col min="7936" max="7936" width="5.00390625" style="976" customWidth="1"/>
    <col min="7937" max="7937" width="20.00390625" style="976" customWidth="1"/>
    <col min="7938" max="7939" width="6.25390625" style="976" customWidth="1"/>
    <col min="7940" max="7940" width="10.75390625" style="976" customWidth="1"/>
    <col min="7941" max="7941" width="8.875" style="976" customWidth="1"/>
    <col min="7942" max="7942" width="5.75390625" style="976" customWidth="1"/>
    <col min="7943" max="7943" width="10.125" style="976" customWidth="1"/>
    <col min="7944" max="7944" width="9.75390625" style="976" customWidth="1"/>
    <col min="7945" max="7945" width="8.75390625" style="976" customWidth="1"/>
    <col min="7946" max="7946" width="8.25390625" style="976" customWidth="1"/>
    <col min="7947" max="7947" width="9.125" style="976" customWidth="1"/>
    <col min="7948" max="7948" width="9.00390625" style="976" customWidth="1"/>
    <col min="7949" max="7949" width="12.25390625" style="976" customWidth="1"/>
    <col min="7950" max="7950" width="25.00390625" style="976" customWidth="1"/>
    <col min="7951" max="7951" width="11.75390625" style="976" customWidth="1"/>
    <col min="7952" max="7952" width="13.625" style="976" customWidth="1"/>
    <col min="7953" max="7953" width="13.375" style="976" customWidth="1"/>
    <col min="7954" max="7954" width="18.375" style="976" customWidth="1"/>
    <col min="7955" max="7955" width="9.125" style="976" customWidth="1"/>
    <col min="7956" max="7956" width="24.75390625" style="976" customWidth="1"/>
    <col min="7957" max="8191" width="9.125" style="976" customWidth="1"/>
    <col min="8192" max="8192" width="5.00390625" style="976" customWidth="1"/>
    <col min="8193" max="8193" width="20.00390625" style="976" customWidth="1"/>
    <col min="8194" max="8195" width="6.25390625" style="976" customWidth="1"/>
    <col min="8196" max="8196" width="10.75390625" style="976" customWidth="1"/>
    <col min="8197" max="8197" width="8.875" style="976" customWidth="1"/>
    <col min="8198" max="8198" width="5.75390625" style="976" customWidth="1"/>
    <col min="8199" max="8199" width="10.125" style="976" customWidth="1"/>
    <col min="8200" max="8200" width="9.75390625" style="976" customWidth="1"/>
    <col min="8201" max="8201" width="8.75390625" style="976" customWidth="1"/>
    <col min="8202" max="8202" width="8.25390625" style="976" customWidth="1"/>
    <col min="8203" max="8203" width="9.125" style="976" customWidth="1"/>
    <col min="8204" max="8204" width="9.00390625" style="976" customWidth="1"/>
    <col min="8205" max="8205" width="12.25390625" style="976" customWidth="1"/>
    <col min="8206" max="8206" width="25.00390625" style="976" customWidth="1"/>
    <col min="8207" max="8207" width="11.75390625" style="976" customWidth="1"/>
    <col min="8208" max="8208" width="13.625" style="976" customWidth="1"/>
    <col min="8209" max="8209" width="13.375" style="976" customWidth="1"/>
    <col min="8210" max="8210" width="18.375" style="976" customWidth="1"/>
    <col min="8211" max="8211" width="9.125" style="976" customWidth="1"/>
    <col min="8212" max="8212" width="24.75390625" style="976" customWidth="1"/>
    <col min="8213" max="8447" width="9.125" style="976" customWidth="1"/>
    <col min="8448" max="8448" width="5.00390625" style="976" customWidth="1"/>
    <col min="8449" max="8449" width="20.00390625" style="976" customWidth="1"/>
    <col min="8450" max="8451" width="6.25390625" style="976" customWidth="1"/>
    <col min="8452" max="8452" width="10.75390625" style="976" customWidth="1"/>
    <col min="8453" max="8453" width="8.875" style="976" customWidth="1"/>
    <col min="8454" max="8454" width="5.75390625" style="976" customWidth="1"/>
    <col min="8455" max="8455" width="10.125" style="976" customWidth="1"/>
    <col min="8456" max="8456" width="9.75390625" style="976" customWidth="1"/>
    <col min="8457" max="8457" width="8.75390625" style="976" customWidth="1"/>
    <col min="8458" max="8458" width="8.25390625" style="976" customWidth="1"/>
    <col min="8459" max="8459" width="9.125" style="976" customWidth="1"/>
    <col min="8460" max="8460" width="9.00390625" style="976" customWidth="1"/>
    <col min="8461" max="8461" width="12.25390625" style="976" customWidth="1"/>
    <col min="8462" max="8462" width="25.00390625" style="976" customWidth="1"/>
    <col min="8463" max="8463" width="11.75390625" style="976" customWidth="1"/>
    <col min="8464" max="8464" width="13.625" style="976" customWidth="1"/>
    <col min="8465" max="8465" width="13.375" style="976" customWidth="1"/>
    <col min="8466" max="8466" width="18.375" style="976" customWidth="1"/>
    <col min="8467" max="8467" width="9.125" style="976" customWidth="1"/>
    <col min="8468" max="8468" width="24.75390625" style="976" customWidth="1"/>
    <col min="8469" max="8703" width="9.125" style="976" customWidth="1"/>
    <col min="8704" max="8704" width="5.00390625" style="976" customWidth="1"/>
    <col min="8705" max="8705" width="20.00390625" style="976" customWidth="1"/>
    <col min="8706" max="8707" width="6.25390625" style="976" customWidth="1"/>
    <col min="8708" max="8708" width="10.75390625" style="976" customWidth="1"/>
    <col min="8709" max="8709" width="8.875" style="976" customWidth="1"/>
    <col min="8710" max="8710" width="5.75390625" style="976" customWidth="1"/>
    <col min="8711" max="8711" width="10.125" style="976" customWidth="1"/>
    <col min="8712" max="8712" width="9.75390625" style="976" customWidth="1"/>
    <col min="8713" max="8713" width="8.75390625" style="976" customWidth="1"/>
    <col min="8714" max="8714" width="8.25390625" style="976" customWidth="1"/>
    <col min="8715" max="8715" width="9.125" style="976" customWidth="1"/>
    <col min="8716" max="8716" width="9.00390625" style="976" customWidth="1"/>
    <col min="8717" max="8717" width="12.25390625" style="976" customWidth="1"/>
    <col min="8718" max="8718" width="25.00390625" style="976" customWidth="1"/>
    <col min="8719" max="8719" width="11.75390625" style="976" customWidth="1"/>
    <col min="8720" max="8720" width="13.625" style="976" customWidth="1"/>
    <col min="8721" max="8721" width="13.375" style="976" customWidth="1"/>
    <col min="8722" max="8722" width="18.375" style="976" customWidth="1"/>
    <col min="8723" max="8723" width="9.125" style="976" customWidth="1"/>
    <col min="8724" max="8724" width="24.75390625" style="976" customWidth="1"/>
    <col min="8725" max="8959" width="9.125" style="976" customWidth="1"/>
    <col min="8960" max="8960" width="5.00390625" style="976" customWidth="1"/>
    <col min="8961" max="8961" width="20.00390625" style="976" customWidth="1"/>
    <col min="8962" max="8963" width="6.25390625" style="976" customWidth="1"/>
    <col min="8964" max="8964" width="10.75390625" style="976" customWidth="1"/>
    <col min="8965" max="8965" width="8.875" style="976" customWidth="1"/>
    <col min="8966" max="8966" width="5.75390625" style="976" customWidth="1"/>
    <col min="8967" max="8967" width="10.125" style="976" customWidth="1"/>
    <col min="8968" max="8968" width="9.75390625" style="976" customWidth="1"/>
    <col min="8969" max="8969" width="8.75390625" style="976" customWidth="1"/>
    <col min="8970" max="8970" width="8.25390625" style="976" customWidth="1"/>
    <col min="8971" max="8971" width="9.125" style="976" customWidth="1"/>
    <col min="8972" max="8972" width="9.00390625" style="976" customWidth="1"/>
    <col min="8973" max="8973" width="12.25390625" style="976" customWidth="1"/>
    <col min="8974" max="8974" width="25.00390625" style="976" customWidth="1"/>
    <col min="8975" max="8975" width="11.75390625" style="976" customWidth="1"/>
    <col min="8976" max="8976" width="13.625" style="976" customWidth="1"/>
    <col min="8977" max="8977" width="13.375" style="976" customWidth="1"/>
    <col min="8978" max="8978" width="18.375" style="976" customWidth="1"/>
    <col min="8979" max="8979" width="9.125" style="976" customWidth="1"/>
    <col min="8980" max="8980" width="24.75390625" style="976" customWidth="1"/>
    <col min="8981" max="9215" width="9.125" style="976" customWidth="1"/>
    <col min="9216" max="9216" width="5.00390625" style="976" customWidth="1"/>
    <col min="9217" max="9217" width="20.00390625" style="976" customWidth="1"/>
    <col min="9218" max="9219" width="6.25390625" style="976" customWidth="1"/>
    <col min="9220" max="9220" width="10.75390625" style="976" customWidth="1"/>
    <col min="9221" max="9221" width="8.875" style="976" customWidth="1"/>
    <col min="9222" max="9222" width="5.75390625" style="976" customWidth="1"/>
    <col min="9223" max="9223" width="10.125" style="976" customWidth="1"/>
    <col min="9224" max="9224" width="9.75390625" style="976" customWidth="1"/>
    <col min="9225" max="9225" width="8.75390625" style="976" customWidth="1"/>
    <col min="9226" max="9226" width="8.25390625" style="976" customWidth="1"/>
    <col min="9227" max="9227" width="9.125" style="976" customWidth="1"/>
    <col min="9228" max="9228" width="9.00390625" style="976" customWidth="1"/>
    <col min="9229" max="9229" width="12.25390625" style="976" customWidth="1"/>
    <col min="9230" max="9230" width="25.00390625" style="976" customWidth="1"/>
    <col min="9231" max="9231" width="11.75390625" style="976" customWidth="1"/>
    <col min="9232" max="9232" width="13.625" style="976" customWidth="1"/>
    <col min="9233" max="9233" width="13.375" style="976" customWidth="1"/>
    <col min="9234" max="9234" width="18.375" style="976" customWidth="1"/>
    <col min="9235" max="9235" width="9.125" style="976" customWidth="1"/>
    <col min="9236" max="9236" width="24.75390625" style="976" customWidth="1"/>
    <col min="9237" max="9471" width="9.125" style="976" customWidth="1"/>
    <col min="9472" max="9472" width="5.00390625" style="976" customWidth="1"/>
    <col min="9473" max="9473" width="20.00390625" style="976" customWidth="1"/>
    <col min="9474" max="9475" width="6.25390625" style="976" customWidth="1"/>
    <col min="9476" max="9476" width="10.75390625" style="976" customWidth="1"/>
    <col min="9477" max="9477" width="8.875" style="976" customWidth="1"/>
    <col min="9478" max="9478" width="5.75390625" style="976" customWidth="1"/>
    <col min="9479" max="9479" width="10.125" style="976" customWidth="1"/>
    <col min="9480" max="9480" width="9.75390625" style="976" customWidth="1"/>
    <col min="9481" max="9481" width="8.75390625" style="976" customWidth="1"/>
    <col min="9482" max="9482" width="8.25390625" style="976" customWidth="1"/>
    <col min="9483" max="9483" width="9.125" style="976" customWidth="1"/>
    <col min="9484" max="9484" width="9.00390625" style="976" customWidth="1"/>
    <col min="9485" max="9485" width="12.25390625" style="976" customWidth="1"/>
    <col min="9486" max="9486" width="25.00390625" style="976" customWidth="1"/>
    <col min="9487" max="9487" width="11.75390625" style="976" customWidth="1"/>
    <col min="9488" max="9488" width="13.625" style="976" customWidth="1"/>
    <col min="9489" max="9489" width="13.375" style="976" customWidth="1"/>
    <col min="9490" max="9490" width="18.375" style="976" customWidth="1"/>
    <col min="9491" max="9491" width="9.125" style="976" customWidth="1"/>
    <col min="9492" max="9492" width="24.75390625" style="976" customWidth="1"/>
    <col min="9493" max="9727" width="9.125" style="976" customWidth="1"/>
    <col min="9728" max="9728" width="5.00390625" style="976" customWidth="1"/>
    <col min="9729" max="9729" width="20.00390625" style="976" customWidth="1"/>
    <col min="9730" max="9731" width="6.25390625" style="976" customWidth="1"/>
    <col min="9732" max="9732" width="10.75390625" style="976" customWidth="1"/>
    <col min="9733" max="9733" width="8.875" style="976" customWidth="1"/>
    <col min="9734" max="9734" width="5.75390625" style="976" customWidth="1"/>
    <col min="9735" max="9735" width="10.125" style="976" customWidth="1"/>
    <col min="9736" max="9736" width="9.75390625" style="976" customWidth="1"/>
    <col min="9737" max="9737" width="8.75390625" style="976" customWidth="1"/>
    <col min="9738" max="9738" width="8.25390625" style="976" customWidth="1"/>
    <col min="9739" max="9739" width="9.125" style="976" customWidth="1"/>
    <col min="9740" max="9740" width="9.00390625" style="976" customWidth="1"/>
    <col min="9741" max="9741" width="12.25390625" style="976" customWidth="1"/>
    <col min="9742" max="9742" width="25.00390625" style="976" customWidth="1"/>
    <col min="9743" max="9743" width="11.75390625" style="976" customWidth="1"/>
    <col min="9744" max="9744" width="13.625" style="976" customWidth="1"/>
    <col min="9745" max="9745" width="13.375" style="976" customWidth="1"/>
    <col min="9746" max="9746" width="18.375" style="976" customWidth="1"/>
    <col min="9747" max="9747" width="9.125" style="976" customWidth="1"/>
    <col min="9748" max="9748" width="24.75390625" style="976" customWidth="1"/>
    <col min="9749" max="9983" width="9.125" style="976" customWidth="1"/>
    <col min="9984" max="9984" width="5.00390625" style="976" customWidth="1"/>
    <col min="9985" max="9985" width="20.00390625" style="976" customWidth="1"/>
    <col min="9986" max="9987" width="6.25390625" style="976" customWidth="1"/>
    <col min="9988" max="9988" width="10.75390625" style="976" customWidth="1"/>
    <col min="9989" max="9989" width="8.875" style="976" customWidth="1"/>
    <col min="9990" max="9990" width="5.75390625" style="976" customWidth="1"/>
    <col min="9991" max="9991" width="10.125" style="976" customWidth="1"/>
    <col min="9992" max="9992" width="9.75390625" style="976" customWidth="1"/>
    <col min="9993" max="9993" width="8.75390625" style="976" customWidth="1"/>
    <col min="9994" max="9994" width="8.25390625" style="976" customWidth="1"/>
    <col min="9995" max="9995" width="9.125" style="976" customWidth="1"/>
    <col min="9996" max="9996" width="9.00390625" style="976" customWidth="1"/>
    <col min="9997" max="9997" width="12.25390625" style="976" customWidth="1"/>
    <col min="9998" max="9998" width="25.00390625" style="976" customWidth="1"/>
    <col min="9999" max="9999" width="11.75390625" style="976" customWidth="1"/>
    <col min="10000" max="10000" width="13.625" style="976" customWidth="1"/>
    <col min="10001" max="10001" width="13.375" style="976" customWidth="1"/>
    <col min="10002" max="10002" width="18.375" style="976" customWidth="1"/>
    <col min="10003" max="10003" width="9.125" style="976" customWidth="1"/>
    <col min="10004" max="10004" width="24.75390625" style="976" customWidth="1"/>
    <col min="10005" max="10239" width="9.125" style="976" customWidth="1"/>
    <col min="10240" max="10240" width="5.00390625" style="976" customWidth="1"/>
    <col min="10241" max="10241" width="20.00390625" style="976" customWidth="1"/>
    <col min="10242" max="10243" width="6.25390625" style="976" customWidth="1"/>
    <col min="10244" max="10244" width="10.75390625" style="976" customWidth="1"/>
    <col min="10245" max="10245" width="8.875" style="976" customWidth="1"/>
    <col min="10246" max="10246" width="5.75390625" style="976" customWidth="1"/>
    <col min="10247" max="10247" width="10.125" style="976" customWidth="1"/>
    <col min="10248" max="10248" width="9.75390625" style="976" customWidth="1"/>
    <col min="10249" max="10249" width="8.75390625" style="976" customWidth="1"/>
    <col min="10250" max="10250" width="8.25390625" style="976" customWidth="1"/>
    <col min="10251" max="10251" width="9.125" style="976" customWidth="1"/>
    <col min="10252" max="10252" width="9.00390625" style="976" customWidth="1"/>
    <col min="10253" max="10253" width="12.25390625" style="976" customWidth="1"/>
    <col min="10254" max="10254" width="25.00390625" style="976" customWidth="1"/>
    <col min="10255" max="10255" width="11.75390625" style="976" customWidth="1"/>
    <col min="10256" max="10256" width="13.625" style="976" customWidth="1"/>
    <col min="10257" max="10257" width="13.375" style="976" customWidth="1"/>
    <col min="10258" max="10258" width="18.375" style="976" customWidth="1"/>
    <col min="10259" max="10259" width="9.125" style="976" customWidth="1"/>
    <col min="10260" max="10260" width="24.75390625" style="976" customWidth="1"/>
    <col min="10261" max="10495" width="9.125" style="976" customWidth="1"/>
    <col min="10496" max="10496" width="5.00390625" style="976" customWidth="1"/>
    <col min="10497" max="10497" width="20.00390625" style="976" customWidth="1"/>
    <col min="10498" max="10499" width="6.25390625" style="976" customWidth="1"/>
    <col min="10500" max="10500" width="10.75390625" style="976" customWidth="1"/>
    <col min="10501" max="10501" width="8.875" style="976" customWidth="1"/>
    <col min="10502" max="10502" width="5.75390625" style="976" customWidth="1"/>
    <col min="10503" max="10503" width="10.125" style="976" customWidth="1"/>
    <col min="10504" max="10504" width="9.75390625" style="976" customWidth="1"/>
    <col min="10505" max="10505" width="8.75390625" style="976" customWidth="1"/>
    <col min="10506" max="10506" width="8.25390625" style="976" customWidth="1"/>
    <col min="10507" max="10507" width="9.125" style="976" customWidth="1"/>
    <col min="10508" max="10508" width="9.00390625" style="976" customWidth="1"/>
    <col min="10509" max="10509" width="12.25390625" style="976" customWidth="1"/>
    <col min="10510" max="10510" width="25.00390625" style="976" customWidth="1"/>
    <col min="10511" max="10511" width="11.75390625" style="976" customWidth="1"/>
    <col min="10512" max="10512" width="13.625" style="976" customWidth="1"/>
    <col min="10513" max="10513" width="13.375" style="976" customWidth="1"/>
    <col min="10514" max="10514" width="18.375" style="976" customWidth="1"/>
    <col min="10515" max="10515" width="9.125" style="976" customWidth="1"/>
    <col min="10516" max="10516" width="24.75390625" style="976" customWidth="1"/>
    <col min="10517" max="10751" width="9.125" style="976" customWidth="1"/>
    <col min="10752" max="10752" width="5.00390625" style="976" customWidth="1"/>
    <col min="10753" max="10753" width="20.00390625" style="976" customWidth="1"/>
    <col min="10754" max="10755" width="6.25390625" style="976" customWidth="1"/>
    <col min="10756" max="10756" width="10.75390625" style="976" customWidth="1"/>
    <col min="10757" max="10757" width="8.875" style="976" customWidth="1"/>
    <col min="10758" max="10758" width="5.75390625" style="976" customWidth="1"/>
    <col min="10759" max="10759" width="10.125" style="976" customWidth="1"/>
    <col min="10760" max="10760" width="9.75390625" style="976" customWidth="1"/>
    <col min="10761" max="10761" width="8.75390625" style="976" customWidth="1"/>
    <col min="10762" max="10762" width="8.25390625" style="976" customWidth="1"/>
    <col min="10763" max="10763" width="9.125" style="976" customWidth="1"/>
    <col min="10764" max="10764" width="9.00390625" style="976" customWidth="1"/>
    <col min="10765" max="10765" width="12.25390625" style="976" customWidth="1"/>
    <col min="10766" max="10766" width="25.00390625" style="976" customWidth="1"/>
    <col min="10767" max="10767" width="11.75390625" style="976" customWidth="1"/>
    <col min="10768" max="10768" width="13.625" style="976" customWidth="1"/>
    <col min="10769" max="10769" width="13.375" style="976" customWidth="1"/>
    <col min="10770" max="10770" width="18.375" style="976" customWidth="1"/>
    <col min="10771" max="10771" width="9.125" style="976" customWidth="1"/>
    <col min="10772" max="10772" width="24.75390625" style="976" customWidth="1"/>
    <col min="10773" max="11007" width="9.125" style="976" customWidth="1"/>
    <col min="11008" max="11008" width="5.00390625" style="976" customWidth="1"/>
    <col min="11009" max="11009" width="20.00390625" style="976" customWidth="1"/>
    <col min="11010" max="11011" width="6.25390625" style="976" customWidth="1"/>
    <col min="11012" max="11012" width="10.75390625" style="976" customWidth="1"/>
    <col min="11013" max="11013" width="8.875" style="976" customWidth="1"/>
    <col min="11014" max="11014" width="5.75390625" style="976" customWidth="1"/>
    <col min="11015" max="11015" width="10.125" style="976" customWidth="1"/>
    <col min="11016" max="11016" width="9.75390625" style="976" customWidth="1"/>
    <col min="11017" max="11017" width="8.75390625" style="976" customWidth="1"/>
    <col min="11018" max="11018" width="8.25390625" style="976" customWidth="1"/>
    <col min="11019" max="11019" width="9.125" style="976" customWidth="1"/>
    <col min="11020" max="11020" width="9.00390625" style="976" customWidth="1"/>
    <col min="11021" max="11021" width="12.25390625" style="976" customWidth="1"/>
    <col min="11022" max="11022" width="25.00390625" style="976" customWidth="1"/>
    <col min="11023" max="11023" width="11.75390625" style="976" customWidth="1"/>
    <col min="11024" max="11024" width="13.625" style="976" customWidth="1"/>
    <col min="11025" max="11025" width="13.375" style="976" customWidth="1"/>
    <col min="11026" max="11026" width="18.375" style="976" customWidth="1"/>
    <col min="11027" max="11027" width="9.125" style="976" customWidth="1"/>
    <col min="11028" max="11028" width="24.75390625" style="976" customWidth="1"/>
    <col min="11029" max="11263" width="9.125" style="976" customWidth="1"/>
    <col min="11264" max="11264" width="5.00390625" style="976" customWidth="1"/>
    <col min="11265" max="11265" width="20.00390625" style="976" customWidth="1"/>
    <col min="11266" max="11267" width="6.25390625" style="976" customWidth="1"/>
    <col min="11268" max="11268" width="10.75390625" style="976" customWidth="1"/>
    <col min="11269" max="11269" width="8.875" style="976" customWidth="1"/>
    <col min="11270" max="11270" width="5.75390625" style="976" customWidth="1"/>
    <col min="11271" max="11271" width="10.125" style="976" customWidth="1"/>
    <col min="11272" max="11272" width="9.75390625" style="976" customWidth="1"/>
    <col min="11273" max="11273" width="8.75390625" style="976" customWidth="1"/>
    <col min="11274" max="11274" width="8.25390625" style="976" customWidth="1"/>
    <col min="11275" max="11275" width="9.125" style="976" customWidth="1"/>
    <col min="11276" max="11276" width="9.00390625" style="976" customWidth="1"/>
    <col min="11277" max="11277" width="12.25390625" style="976" customWidth="1"/>
    <col min="11278" max="11278" width="25.00390625" style="976" customWidth="1"/>
    <col min="11279" max="11279" width="11.75390625" style="976" customWidth="1"/>
    <col min="11280" max="11280" width="13.625" style="976" customWidth="1"/>
    <col min="11281" max="11281" width="13.375" style="976" customWidth="1"/>
    <col min="11282" max="11282" width="18.375" style="976" customWidth="1"/>
    <col min="11283" max="11283" width="9.125" style="976" customWidth="1"/>
    <col min="11284" max="11284" width="24.75390625" style="976" customWidth="1"/>
    <col min="11285" max="11519" width="9.125" style="976" customWidth="1"/>
    <col min="11520" max="11520" width="5.00390625" style="976" customWidth="1"/>
    <col min="11521" max="11521" width="20.00390625" style="976" customWidth="1"/>
    <col min="11522" max="11523" width="6.25390625" style="976" customWidth="1"/>
    <col min="11524" max="11524" width="10.75390625" style="976" customWidth="1"/>
    <col min="11525" max="11525" width="8.875" style="976" customWidth="1"/>
    <col min="11526" max="11526" width="5.75390625" style="976" customWidth="1"/>
    <col min="11527" max="11527" width="10.125" style="976" customWidth="1"/>
    <col min="11528" max="11528" width="9.75390625" style="976" customWidth="1"/>
    <col min="11529" max="11529" width="8.75390625" style="976" customWidth="1"/>
    <col min="11530" max="11530" width="8.25390625" style="976" customWidth="1"/>
    <col min="11531" max="11531" width="9.125" style="976" customWidth="1"/>
    <col min="11532" max="11532" width="9.00390625" style="976" customWidth="1"/>
    <col min="11533" max="11533" width="12.25390625" style="976" customWidth="1"/>
    <col min="11534" max="11534" width="25.00390625" style="976" customWidth="1"/>
    <col min="11535" max="11535" width="11.75390625" style="976" customWidth="1"/>
    <col min="11536" max="11536" width="13.625" style="976" customWidth="1"/>
    <col min="11537" max="11537" width="13.375" style="976" customWidth="1"/>
    <col min="11538" max="11538" width="18.375" style="976" customWidth="1"/>
    <col min="11539" max="11539" width="9.125" style="976" customWidth="1"/>
    <col min="11540" max="11540" width="24.75390625" style="976" customWidth="1"/>
    <col min="11541" max="11775" width="9.125" style="976" customWidth="1"/>
    <col min="11776" max="11776" width="5.00390625" style="976" customWidth="1"/>
    <col min="11777" max="11777" width="20.00390625" style="976" customWidth="1"/>
    <col min="11778" max="11779" width="6.25390625" style="976" customWidth="1"/>
    <col min="11780" max="11780" width="10.75390625" style="976" customWidth="1"/>
    <col min="11781" max="11781" width="8.875" style="976" customWidth="1"/>
    <col min="11782" max="11782" width="5.75390625" style="976" customWidth="1"/>
    <col min="11783" max="11783" width="10.125" style="976" customWidth="1"/>
    <col min="11784" max="11784" width="9.75390625" style="976" customWidth="1"/>
    <col min="11785" max="11785" width="8.75390625" style="976" customWidth="1"/>
    <col min="11786" max="11786" width="8.25390625" style="976" customWidth="1"/>
    <col min="11787" max="11787" width="9.125" style="976" customWidth="1"/>
    <col min="11788" max="11788" width="9.00390625" style="976" customWidth="1"/>
    <col min="11789" max="11789" width="12.25390625" style="976" customWidth="1"/>
    <col min="11790" max="11790" width="25.00390625" style="976" customWidth="1"/>
    <col min="11791" max="11791" width="11.75390625" style="976" customWidth="1"/>
    <col min="11792" max="11792" width="13.625" style="976" customWidth="1"/>
    <col min="11793" max="11793" width="13.375" style="976" customWidth="1"/>
    <col min="11794" max="11794" width="18.375" style="976" customWidth="1"/>
    <col min="11795" max="11795" width="9.125" style="976" customWidth="1"/>
    <col min="11796" max="11796" width="24.75390625" style="976" customWidth="1"/>
    <col min="11797" max="12031" width="9.125" style="976" customWidth="1"/>
    <col min="12032" max="12032" width="5.00390625" style="976" customWidth="1"/>
    <col min="12033" max="12033" width="20.00390625" style="976" customWidth="1"/>
    <col min="12034" max="12035" width="6.25390625" style="976" customWidth="1"/>
    <col min="12036" max="12036" width="10.75390625" style="976" customWidth="1"/>
    <col min="12037" max="12037" width="8.875" style="976" customWidth="1"/>
    <col min="12038" max="12038" width="5.75390625" style="976" customWidth="1"/>
    <col min="12039" max="12039" width="10.125" style="976" customWidth="1"/>
    <col min="12040" max="12040" width="9.75390625" style="976" customWidth="1"/>
    <col min="12041" max="12041" width="8.75390625" style="976" customWidth="1"/>
    <col min="12042" max="12042" width="8.25390625" style="976" customWidth="1"/>
    <col min="12043" max="12043" width="9.125" style="976" customWidth="1"/>
    <col min="12044" max="12044" width="9.00390625" style="976" customWidth="1"/>
    <col min="12045" max="12045" width="12.25390625" style="976" customWidth="1"/>
    <col min="12046" max="12046" width="25.00390625" style="976" customWidth="1"/>
    <col min="12047" max="12047" width="11.75390625" style="976" customWidth="1"/>
    <col min="12048" max="12048" width="13.625" style="976" customWidth="1"/>
    <col min="12049" max="12049" width="13.375" style="976" customWidth="1"/>
    <col min="12050" max="12050" width="18.375" style="976" customWidth="1"/>
    <col min="12051" max="12051" width="9.125" style="976" customWidth="1"/>
    <col min="12052" max="12052" width="24.75390625" style="976" customWidth="1"/>
    <col min="12053" max="12287" width="9.125" style="976" customWidth="1"/>
    <col min="12288" max="12288" width="5.00390625" style="976" customWidth="1"/>
    <col min="12289" max="12289" width="20.00390625" style="976" customWidth="1"/>
    <col min="12290" max="12291" width="6.25390625" style="976" customWidth="1"/>
    <col min="12292" max="12292" width="10.75390625" style="976" customWidth="1"/>
    <col min="12293" max="12293" width="8.875" style="976" customWidth="1"/>
    <col min="12294" max="12294" width="5.75390625" style="976" customWidth="1"/>
    <col min="12295" max="12295" width="10.125" style="976" customWidth="1"/>
    <col min="12296" max="12296" width="9.75390625" style="976" customWidth="1"/>
    <col min="12297" max="12297" width="8.75390625" style="976" customWidth="1"/>
    <col min="12298" max="12298" width="8.25390625" style="976" customWidth="1"/>
    <col min="12299" max="12299" width="9.125" style="976" customWidth="1"/>
    <col min="12300" max="12300" width="9.00390625" style="976" customWidth="1"/>
    <col min="12301" max="12301" width="12.25390625" style="976" customWidth="1"/>
    <col min="12302" max="12302" width="25.00390625" style="976" customWidth="1"/>
    <col min="12303" max="12303" width="11.75390625" style="976" customWidth="1"/>
    <col min="12304" max="12304" width="13.625" style="976" customWidth="1"/>
    <col min="12305" max="12305" width="13.375" style="976" customWidth="1"/>
    <col min="12306" max="12306" width="18.375" style="976" customWidth="1"/>
    <col min="12307" max="12307" width="9.125" style="976" customWidth="1"/>
    <col min="12308" max="12308" width="24.75390625" style="976" customWidth="1"/>
    <col min="12309" max="12543" width="9.125" style="976" customWidth="1"/>
    <col min="12544" max="12544" width="5.00390625" style="976" customWidth="1"/>
    <col min="12545" max="12545" width="20.00390625" style="976" customWidth="1"/>
    <col min="12546" max="12547" width="6.25390625" style="976" customWidth="1"/>
    <col min="12548" max="12548" width="10.75390625" style="976" customWidth="1"/>
    <col min="12549" max="12549" width="8.875" style="976" customWidth="1"/>
    <col min="12550" max="12550" width="5.75390625" style="976" customWidth="1"/>
    <col min="12551" max="12551" width="10.125" style="976" customWidth="1"/>
    <col min="12552" max="12552" width="9.75390625" style="976" customWidth="1"/>
    <col min="12553" max="12553" width="8.75390625" style="976" customWidth="1"/>
    <col min="12554" max="12554" width="8.25390625" style="976" customWidth="1"/>
    <col min="12555" max="12555" width="9.125" style="976" customWidth="1"/>
    <col min="12556" max="12556" width="9.00390625" style="976" customWidth="1"/>
    <col min="12557" max="12557" width="12.25390625" style="976" customWidth="1"/>
    <col min="12558" max="12558" width="25.00390625" style="976" customWidth="1"/>
    <col min="12559" max="12559" width="11.75390625" style="976" customWidth="1"/>
    <col min="12560" max="12560" width="13.625" style="976" customWidth="1"/>
    <col min="12561" max="12561" width="13.375" style="976" customWidth="1"/>
    <col min="12562" max="12562" width="18.375" style="976" customWidth="1"/>
    <col min="12563" max="12563" width="9.125" style="976" customWidth="1"/>
    <col min="12564" max="12564" width="24.75390625" style="976" customWidth="1"/>
    <col min="12565" max="12799" width="9.125" style="976" customWidth="1"/>
    <col min="12800" max="12800" width="5.00390625" style="976" customWidth="1"/>
    <col min="12801" max="12801" width="20.00390625" style="976" customWidth="1"/>
    <col min="12802" max="12803" width="6.25390625" style="976" customWidth="1"/>
    <col min="12804" max="12804" width="10.75390625" style="976" customWidth="1"/>
    <col min="12805" max="12805" width="8.875" style="976" customWidth="1"/>
    <col min="12806" max="12806" width="5.75390625" style="976" customWidth="1"/>
    <col min="12807" max="12807" width="10.125" style="976" customWidth="1"/>
    <col min="12808" max="12808" width="9.75390625" style="976" customWidth="1"/>
    <col min="12809" max="12809" width="8.75390625" style="976" customWidth="1"/>
    <col min="12810" max="12810" width="8.25390625" style="976" customWidth="1"/>
    <col min="12811" max="12811" width="9.125" style="976" customWidth="1"/>
    <col min="12812" max="12812" width="9.00390625" style="976" customWidth="1"/>
    <col min="12813" max="12813" width="12.25390625" style="976" customWidth="1"/>
    <col min="12814" max="12814" width="25.00390625" style="976" customWidth="1"/>
    <col min="12815" max="12815" width="11.75390625" style="976" customWidth="1"/>
    <col min="12816" max="12816" width="13.625" style="976" customWidth="1"/>
    <col min="12817" max="12817" width="13.375" style="976" customWidth="1"/>
    <col min="12818" max="12818" width="18.375" style="976" customWidth="1"/>
    <col min="12819" max="12819" width="9.125" style="976" customWidth="1"/>
    <col min="12820" max="12820" width="24.75390625" style="976" customWidth="1"/>
    <col min="12821" max="13055" width="9.125" style="976" customWidth="1"/>
    <col min="13056" max="13056" width="5.00390625" style="976" customWidth="1"/>
    <col min="13057" max="13057" width="20.00390625" style="976" customWidth="1"/>
    <col min="13058" max="13059" width="6.25390625" style="976" customWidth="1"/>
    <col min="13060" max="13060" width="10.75390625" style="976" customWidth="1"/>
    <col min="13061" max="13061" width="8.875" style="976" customWidth="1"/>
    <col min="13062" max="13062" width="5.75390625" style="976" customWidth="1"/>
    <col min="13063" max="13063" width="10.125" style="976" customWidth="1"/>
    <col min="13064" max="13064" width="9.75390625" style="976" customWidth="1"/>
    <col min="13065" max="13065" width="8.75390625" style="976" customWidth="1"/>
    <col min="13066" max="13066" width="8.25390625" style="976" customWidth="1"/>
    <col min="13067" max="13067" width="9.125" style="976" customWidth="1"/>
    <col min="13068" max="13068" width="9.00390625" style="976" customWidth="1"/>
    <col min="13069" max="13069" width="12.25390625" style="976" customWidth="1"/>
    <col min="13070" max="13070" width="25.00390625" style="976" customWidth="1"/>
    <col min="13071" max="13071" width="11.75390625" style="976" customWidth="1"/>
    <col min="13072" max="13072" width="13.625" style="976" customWidth="1"/>
    <col min="13073" max="13073" width="13.375" style="976" customWidth="1"/>
    <col min="13074" max="13074" width="18.375" style="976" customWidth="1"/>
    <col min="13075" max="13075" width="9.125" style="976" customWidth="1"/>
    <col min="13076" max="13076" width="24.75390625" style="976" customWidth="1"/>
    <col min="13077" max="13311" width="9.125" style="976" customWidth="1"/>
    <col min="13312" max="13312" width="5.00390625" style="976" customWidth="1"/>
    <col min="13313" max="13313" width="20.00390625" style="976" customWidth="1"/>
    <col min="13314" max="13315" width="6.25390625" style="976" customWidth="1"/>
    <col min="13316" max="13316" width="10.75390625" style="976" customWidth="1"/>
    <col min="13317" max="13317" width="8.875" style="976" customWidth="1"/>
    <col min="13318" max="13318" width="5.75390625" style="976" customWidth="1"/>
    <col min="13319" max="13319" width="10.125" style="976" customWidth="1"/>
    <col min="13320" max="13320" width="9.75390625" style="976" customWidth="1"/>
    <col min="13321" max="13321" width="8.75390625" style="976" customWidth="1"/>
    <col min="13322" max="13322" width="8.25390625" style="976" customWidth="1"/>
    <col min="13323" max="13323" width="9.125" style="976" customWidth="1"/>
    <col min="13324" max="13324" width="9.00390625" style="976" customWidth="1"/>
    <col min="13325" max="13325" width="12.25390625" style="976" customWidth="1"/>
    <col min="13326" max="13326" width="25.00390625" style="976" customWidth="1"/>
    <col min="13327" max="13327" width="11.75390625" style="976" customWidth="1"/>
    <col min="13328" max="13328" width="13.625" style="976" customWidth="1"/>
    <col min="13329" max="13329" width="13.375" style="976" customWidth="1"/>
    <col min="13330" max="13330" width="18.375" style="976" customWidth="1"/>
    <col min="13331" max="13331" width="9.125" style="976" customWidth="1"/>
    <col min="13332" max="13332" width="24.75390625" style="976" customWidth="1"/>
    <col min="13333" max="13567" width="9.125" style="976" customWidth="1"/>
    <col min="13568" max="13568" width="5.00390625" style="976" customWidth="1"/>
    <col min="13569" max="13569" width="20.00390625" style="976" customWidth="1"/>
    <col min="13570" max="13571" width="6.25390625" style="976" customWidth="1"/>
    <col min="13572" max="13572" width="10.75390625" style="976" customWidth="1"/>
    <col min="13573" max="13573" width="8.875" style="976" customWidth="1"/>
    <col min="13574" max="13574" width="5.75390625" style="976" customWidth="1"/>
    <col min="13575" max="13575" width="10.125" style="976" customWidth="1"/>
    <col min="13576" max="13576" width="9.75390625" style="976" customWidth="1"/>
    <col min="13577" max="13577" width="8.75390625" style="976" customWidth="1"/>
    <col min="13578" max="13578" width="8.25390625" style="976" customWidth="1"/>
    <col min="13579" max="13579" width="9.125" style="976" customWidth="1"/>
    <col min="13580" max="13580" width="9.00390625" style="976" customWidth="1"/>
    <col min="13581" max="13581" width="12.25390625" style="976" customWidth="1"/>
    <col min="13582" max="13582" width="25.00390625" style="976" customWidth="1"/>
    <col min="13583" max="13583" width="11.75390625" style="976" customWidth="1"/>
    <col min="13584" max="13584" width="13.625" style="976" customWidth="1"/>
    <col min="13585" max="13585" width="13.375" style="976" customWidth="1"/>
    <col min="13586" max="13586" width="18.375" style="976" customWidth="1"/>
    <col min="13587" max="13587" width="9.125" style="976" customWidth="1"/>
    <col min="13588" max="13588" width="24.75390625" style="976" customWidth="1"/>
    <col min="13589" max="13823" width="9.125" style="976" customWidth="1"/>
    <col min="13824" max="13824" width="5.00390625" style="976" customWidth="1"/>
    <col min="13825" max="13825" width="20.00390625" style="976" customWidth="1"/>
    <col min="13826" max="13827" width="6.25390625" style="976" customWidth="1"/>
    <col min="13828" max="13828" width="10.75390625" style="976" customWidth="1"/>
    <col min="13829" max="13829" width="8.875" style="976" customWidth="1"/>
    <col min="13830" max="13830" width="5.75390625" style="976" customWidth="1"/>
    <col min="13831" max="13831" width="10.125" style="976" customWidth="1"/>
    <col min="13832" max="13832" width="9.75390625" style="976" customWidth="1"/>
    <col min="13833" max="13833" width="8.75390625" style="976" customWidth="1"/>
    <col min="13834" max="13834" width="8.25390625" style="976" customWidth="1"/>
    <col min="13835" max="13835" width="9.125" style="976" customWidth="1"/>
    <col min="13836" max="13836" width="9.00390625" style="976" customWidth="1"/>
    <col min="13837" max="13837" width="12.25390625" style="976" customWidth="1"/>
    <col min="13838" max="13838" width="25.00390625" style="976" customWidth="1"/>
    <col min="13839" max="13839" width="11.75390625" style="976" customWidth="1"/>
    <col min="13840" max="13840" width="13.625" style="976" customWidth="1"/>
    <col min="13841" max="13841" width="13.375" style="976" customWidth="1"/>
    <col min="13842" max="13842" width="18.375" style="976" customWidth="1"/>
    <col min="13843" max="13843" width="9.125" style="976" customWidth="1"/>
    <col min="13844" max="13844" width="24.75390625" style="976" customWidth="1"/>
    <col min="13845" max="14079" width="9.125" style="976" customWidth="1"/>
    <col min="14080" max="14080" width="5.00390625" style="976" customWidth="1"/>
    <col min="14081" max="14081" width="20.00390625" style="976" customWidth="1"/>
    <col min="14082" max="14083" width="6.25390625" style="976" customWidth="1"/>
    <col min="14084" max="14084" width="10.75390625" style="976" customWidth="1"/>
    <col min="14085" max="14085" width="8.875" style="976" customWidth="1"/>
    <col min="14086" max="14086" width="5.75390625" style="976" customWidth="1"/>
    <col min="14087" max="14087" width="10.125" style="976" customWidth="1"/>
    <col min="14088" max="14088" width="9.75390625" style="976" customWidth="1"/>
    <col min="14089" max="14089" width="8.75390625" style="976" customWidth="1"/>
    <col min="14090" max="14090" width="8.25390625" style="976" customWidth="1"/>
    <col min="14091" max="14091" width="9.125" style="976" customWidth="1"/>
    <col min="14092" max="14092" width="9.00390625" style="976" customWidth="1"/>
    <col min="14093" max="14093" width="12.25390625" style="976" customWidth="1"/>
    <col min="14094" max="14094" width="25.00390625" style="976" customWidth="1"/>
    <col min="14095" max="14095" width="11.75390625" style="976" customWidth="1"/>
    <col min="14096" max="14096" width="13.625" style="976" customWidth="1"/>
    <col min="14097" max="14097" width="13.375" style="976" customWidth="1"/>
    <col min="14098" max="14098" width="18.375" style="976" customWidth="1"/>
    <col min="14099" max="14099" width="9.125" style="976" customWidth="1"/>
    <col min="14100" max="14100" width="24.75390625" style="976" customWidth="1"/>
    <col min="14101" max="14335" width="9.125" style="976" customWidth="1"/>
    <col min="14336" max="14336" width="5.00390625" style="976" customWidth="1"/>
    <col min="14337" max="14337" width="20.00390625" style="976" customWidth="1"/>
    <col min="14338" max="14339" width="6.25390625" style="976" customWidth="1"/>
    <col min="14340" max="14340" width="10.75390625" style="976" customWidth="1"/>
    <col min="14341" max="14341" width="8.875" style="976" customWidth="1"/>
    <col min="14342" max="14342" width="5.75390625" style="976" customWidth="1"/>
    <col min="14343" max="14343" width="10.125" style="976" customWidth="1"/>
    <col min="14344" max="14344" width="9.75390625" style="976" customWidth="1"/>
    <col min="14345" max="14345" width="8.75390625" style="976" customWidth="1"/>
    <col min="14346" max="14346" width="8.25390625" style="976" customWidth="1"/>
    <col min="14347" max="14347" width="9.125" style="976" customWidth="1"/>
    <col min="14348" max="14348" width="9.00390625" style="976" customWidth="1"/>
    <col min="14349" max="14349" width="12.25390625" style="976" customWidth="1"/>
    <col min="14350" max="14350" width="25.00390625" style="976" customWidth="1"/>
    <col min="14351" max="14351" width="11.75390625" style="976" customWidth="1"/>
    <col min="14352" max="14352" width="13.625" style="976" customWidth="1"/>
    <col min="14353" max="14353" width="13.375" style="976" customWidth="1"/>
    <col min="14354" max="14354" width="18.375" style="976" customWidth="1"/>
    <col min="14355" max="14355" width="9.125" style="976" customWidth="1"/>
    <col min="14356" max="14356" width="24.75390625" style="976" customWidth="1"/>
    <col min="14357" max="14591" width="9.125" style="976" customWidth="1"/>
    <col min="14592" max="14592" width="5.00390625" style="976" customWidth="1"/>
    <col min="14593" max="14593" width="20.00390625" style="976" customWidth="1"/>
    <col min="14594" max="14595" width="6.25390625" style="976" customWidth="1"/>
    <col min="14596" max="14596" width="10.75390625" style="976" customWidth="1"/>
    <col min="14597" max="14597" width="8.875" style="976" customWidth="1"/>
    <col min="14598" max="14598" width="5.75390625" style="976" customWidth="1"/>
    <col min="14599" max="14599" width="10.125" style="976" customWidth="1"/>
    <col min="14600" max="14600" width="9.75390625" style="976" customWidth="1"/>
    <col min="14601" max="14601" width="8.75390625" style="976" customWidth="1"/>
    <col min="14602" max="14602" width="8.25390625" style="976" customWidth="1"/>
    <col min="14603" max="14603" width="9.125" style="976" customWidth="1"/>
    <col min="14604" max="14604" width="9.00390625" style="976" customWidth="1"/>
    <col min="14605" max="14605" width="12.25390625" style="976" customWidth="1"/>
    <col min="14606" max="14606" width="25.00390625" style="976" customWidth="1"/>
    <col min="14607" max="14607" width="11.75390625" style="976" customWidth="1"/>
    <col min="14608" max="14608" width="13.625" style="976" customWidth="1"/>
    <col min="14609" max="14609" width="13.375" style="976" customWidth="1"/>
    <col min="14610" max="14610" width="18.375" style="976" customWidth="1"/>
    <col min="14611" max="14611" width="9.125" style="976" customWidth="1"/>
    <col min="14612" max="14612" width="24.75390625" style="976" customWidth="1"/>
    <col min="14613" max="14847" width="9.125" style="976" customWidth="1"/>
    <col min="14848" max="14848" width="5.00390625" style="976" customWidth="1"/>
    <col min="14849" max="14849" width="20.00390625" style="976" customWidth="1"/>
    <col min="14850" max="14851" width="6.25390625" style="976" customWidth="1"/>
    <col min="14852" max="14852" width="10.75390625" style="976" customWidth="1"/>
    <col min="14853" max="14853" width="8.875" style="976" customWidth="1"/>
    <col min="14854" max="14854" width="5.75390625" style="976" customWidth="1"/>
    <col min="14855" max="14855" width="10.125" style="976" customWidth="1"/>
    <col min="14856" max="14856" width="9.75390625" style="976" customWidth="1"/>
    <col min="14857" max="14857" width="8.75390625" style="976" customWidth="1"/>
    <col min="14858" max="14858" width="8.25390625" style="976" customWidth="1"/>
    <col min="14859" max="14859" width="9.125" style="976" customWidth="1"/>
    <col min="14860" max="14860" width="9.00390625" style="976" customWidth="1"/>
    <col min="14861" max="14861" width="12.25390625" style="976" customWidth="1"/>
    <col min="14862" max="14862" width="25.00390625" style="976" customWidth="1"/>
    <col min="14863" max="14863" width="11.75390625" style="976" customWidth="1"/>
    <col min="14864" max="14864" width="13.625" style="976" customWidth="1"/>
    <col min="14865" max="14865" width="13.375" style="976" customWidth="1"/>
    <col min="14866" max="14866" width="18.375" style="976" customWidth="1"/>
    <col min="14867" max="14867" width="9.125" style="976" customWidth="1"/>
    <col min="14868" max="14868" width="24.75390625" style="976" customWidth="1"/>
    <col min="14869" max="15103" width="9.125" style="976" customWidth="1"/>
    <col min="15104" max="15104" width="5.00390625" style="976" customWidth="1"/>
    <col min="15105" max="15105" width="20.00390625" style="976" customWidth="1"/>
    <col min="15106" max="15107" width="6.25390625" style="976" customWidth="1"/>
    <col min="15108" max="15108" width="10.75390625" style="976" customWidth="1"/>
    <col min="15109" max="15109" width="8.875" style="976" customWidth="1"/>
    <col min="15110" max="15110" width="5.75390625" style="976" customWidth="1"/>
    <col min="15111" max="15111" width="10.125" style="976" customWidth="1"/>
    <col min="15112" max="15112" width="9.75390625" style="976" customWidth="1"/>
    <col min="15113" max="15113" width="8.75390625" style="976" customWidth="1"/>
    <col min="15114" max="15114" width="8.25390625" style="976" customWidth="1"/>
    <col min="15115" max="15115" width="9.125" style="976" customWidth="1"/>
    <col min="15116" max="15116" width="9.00390625" style="976" customWidth="1"/>
    <col min="15117" max="15117" width="12.25390625" style="976" customWidth="1"/>
    <col min="15118" max="15118" width="25.00390625" style="976" customWidth="1"/>
    <col min="15119" max="15119" width="11.75390625" style="976" customWidth="1"/>
    <col min="15120" max="15120" width="13.625" style="976" customWidth="1"/>
    <col min="15121" max="15121" width="13.375" style="976" customWidth="1"/>
    <col min="15122" max="15122" width="18.375" style="976" customWidth="1"/>
    <col min="15123" max="15123" width="9.125" style="976" customWidth="1"/>
    <col min="15124" max="15124" width="24.75390625" style="976" customWidth="1"/>
    <col min="15125" max="15359" width="9.125" style="976" customWidth="1"/>
    <col min="15360" max="15360" width="5.00390625" style="976" customWidth="1"/>
    <col min="15361" max="15361" width="20.00390625" style="976" customWidth="1"/>
    <col min="15362" max="15363" width="6.25390625" style="976" customWidth="1"/>
    <col min="15364" max="15364" width="10.75390625" style="976" customWidth="1"/>
    <col min="15365" max="15365" width="8.875" style="976" customWidth="1"/>
    <col min="15366" max="15366" width="5.75390625" style="976" customWidth="1"/>
    <col min="15367" max="15367" width="10.125" style="976" customWidth="1"/>
    <col min="15368" max="15368" width="9.75390625" style="976" customWidth="1"/>
    <col min="15369" max="15369" width="8.75390625" style="976" customWidth="1"/>
    <col min="15370" max="15370" width="8.25390625" style="976" customWidth="1"/>
    <col min="15371" max="15371" width="9.125" style="976" customWidth="1"/>
    <col min="15372" max="15372" width="9.00390625" style="976" customWidth="1"/>
    <col min="15373" max="15373" width="12.25390625" style="976" customWidth="1"/>
    <col min="15374" max="15374" width="25.00390625" style="976" customWidth="1"/>
    <col min="15375" max="15375" width="11.75390625" style="976" customWidth="1"/>
    <col min="15376" max="15376" width="13.625" style="976" customWidth="1"/>
    <col min="15377" max="15377" width="13.375" style="976" customWidth="1"/>
    <col min="15378" max="15378" width="18.375" style="976" customWidth="1"/>
    <col min="15379" max="15379" width="9.125" style="976" customWidth="1"/>
    <col min="15380" max="15380" width="24.75390625" style="976" customWidth="1"/>
    <col min="15381" max="15615" width="9.125" style="976" customWidth="1"/>
    <col min="15616" max="15616" width="5.00390625" style="976" customWidth="1"/>
    <col min="15617" max="15617" width="20.00390625" style="976" customWidth="1"/>
    <col min="15618" max="15619" width="6.25390625" style="976" customWidth="1"/>
    <col min="15620" max="15620" width="10.75390625" style="976" customWidth="1"/>
    <col min="15621" max="15621" width="8.875" style="976" customWidth="1"/>
    <col min="15622" max="15622" width="5.75390625" style="976" customWidth="1"/>
    <col min="15623" max="15623" width="10.125" style="976" customWidth="1"/>
    <col min="15624" max="15624" width="9.75390625" style="976" customWidth="1"/>
    <col min="15625" max="15625" width="8.75390625" style="976" customWidth="1"/>
    <col min="15626" max="15626" width="8.25390625" style="976" customWidth="1"/>
    <col min="15627" max="15627" width="9.125" style="976" customWidth="1"/>
    <col min="15628" max="15628" width="9.00390625" style="976" customWidth="1"/>
    <col min="15629" max="15629" width="12.25390625" style="976" customWidth="1"/>
    <col min="15630" max="15630" width="25.00390625" style="976" customWidth="1"/>
    <col min="15631" max="15631" width="11.75390625" style="976" customWidth="1"/>
    <col min="15632" max="15632" width="13.625" style="976" customWidth="1"/>
    <col min="15633" max="15633" width="13.375" style="976" customWidth="1"/>
    <col min="15634" max="15634" width="18.375" style="976" customWidth="1"/>
    <col min="15635" max="15635" width="9.125" style="976" customWidth="1"/>
    <col min="15636" max="15636" width="24.75390625" style="976" customWidth="1"/>
    <col min="15637" max="15871" width="9.125" style="976" customWidth="1"/>
    <col min="15872" max="15872" width="5.00390625" style="976" customWidth="1"/>
    <col min="15873" max="15873" width="20.00390625" style="976" customWidth="1"/>
    <col min="15874" max="15875" width="6.25390625" style="976" customWidth="1"/>
    <col min="15876" max="15876" width="10.75390625" style="976" customWidth="1"/>
    <col min="15877" max="15877" width="8.875" style="976" customWidth="1"/>
    <col min="15878" max="15878" width="5.75390625" style="976" customWidth="1"/>
    <col min="15879" max="15879" width="10.125" style="976" customWidth="1"/>
    <col min="15880" max="15880" width="9.75390625" style="976" customWidth="1"/>
    <col min="15881" max="15881" width="8.75390625" style="976" customWidth="1"/>
    <col min="15882" max="15882" width="8.25390625" style="976" customWidth="1"/>
    <col min="15883" max="15883" width="9.125" style="976" customWidth="1"/>
    <col min="15884" max="15884" width="9.00390625" style="976" customWidth="1"/>
    <col min="15885" max="15885" width="12.25390625" style="976" customWidth="1"/>
    <col min="15886" max="15886" width="25.00390625" style="976" customWidth="1"/>
    <col min="15887" max="15887" width="11.75390625" style="976" customWidth="1"/>
    <col min="15888" max="15888" width="13.625" style="976" customWidth="1"/>
    <col min="15889" max="15889" width="13.375" style="976" customWidth="1"/>
    <col min="15890" max="15890" width="18.375" style="976" customWidth="1"/>
    <col min="15891" max="15891" width="9.125" style="976" customWidth="1"/>
    <col min="15892" max="15892" width="24.75390625" style="976" customWidth="1"/>
    <col min="15893" max="16127" width="9.125" style="976" customWidth="1"/>
    <col min="16128" max="16128" width="5.00390625" style="976" customWidth="1"/>
    <col min="16129" max="16129" width="20.00390625" style="976" customWidth="1"/>
    <col min="16130" max="16131" width="6.25390625" style="976" customWidth="1"/>
    <col min="16132" max="16132" width="10.75390625" style="976" customWidth="1"/>
    <col min="16133" max="16133" width="8.875" style="976" customWidth="1"/>
    <col min="16134" max="16134" width="5.75390625" style="976" customWidth="1"/>
    <col min="16135" max="16135" width="10.125" style="976" customWidth="1"/>
    <col min="16136" max="16136" width="9.75390625" style="976" customWidth="1"/>
    <col min="16137" max="16137" width="8.75390625" style="976" customWidth="1"/>
    <col min="16138" max="16138" width="8.25390625" style="976" customWidth="1"/>
    <col min="16139" max="16139" width="9.125" style="976" customWidth="1"/>
    <col min="16140" max="16140" width="9.00390625" style="976" customWidth="1"/>
    <col min="16141" max="16141" width="12.25390625" style="976" customWidth="1"/>
    <col min="16142" max="16142" width="25.00390625" style="976" customWidth="1"/>
    <col min="16143" max="16143" width="11.75390625" style="976" customWidth="1"/>
    <col min="16144" max="16144" width="13.625" style="976" customWidth="1"/>
    <col min="16145" max="16145" width="13.375" style="976" customWidth="1"/>
    <col min="16146" max="16146" width="18.375" style="976" customWidth="1"/>
    <col min="16147" max="16147" width="9.125" style="976" customWidth="1"/>
    <col min="16148" max="16148" width="24.75390625" style="976" customWidth="1"/>
    <col min="16149" max="16384" width="9.125" style="976" customWidth="1"/>
  </cols>
  <sheetData>
    <row r="1" spans="1:20" ht="15">
      <c r="A1" s="971"/>
      <c r="B1" s="972"/>
      <c r="C1" s="972"/>
      <c r="D1" s="972"/>
      <c r="E1" s="972"/>
      <c r="F1" s="972"/>
      <c r="G1" s="972"/>
      <c r="H1" s="972"/>
      <c r="I1" s="972"/>
      <c r="J1" s="971"/>
      <c r="K1" s="973"/>
      <c r="L1" s="973"/>
      <c r="M1" s="973"/>
      <c r="N1" s="974"/>
      <c r="O1" s="971"/>
      <c r="P1" s="1944"/>
      <c r="Q1" s="1944"/>
      <c r="R1" s="975"/>
      <c r="S1" s="975"/>
      <c r="T1" s="972"/>
    </row>
    <row r="2" spans="1:20" ht="15">
      <c r="A2" s="971"/>
      <c r="B2" s="972"/>
      <c r="C2" s="972"/>
      <c r="D2" s="972"/>
      <c r="E2" s="972"/>
      <c r="F2" s="972"/>
      <c r="G2" s="972"/>
      <c r="H2" s="972"/>
      <c r="I2" s="972"/>
      <c r="J2" s="971"/>
      <c r="K2" s="1945" t="s">
        <v>40</v>
      </c>
      <c r="L2" s="1945"/>
      <c r="M2" s="1945"/>
      <c r="N2" s="1945"/>
      <c r="O2" s="977"/>
      <c r="P2" s="977"/>
      <c r="Q2" s="977"/>
      <c r="R2" s="972"/>
      <c r="S2" s="972"/>
      <c r="T2" s="972"/>
    </row>
    <row r="3" spans="1:20" ht="15">
      <c r="A3" s="971"/>
      <c r="B3" s="972"/>
      <c r="C3" s="972"/>
      <c r="D3" s="972"/>
      <c r="E3" s="972"/>
      <c r="F3" s="972"/>
      <c r="G3" s="972"/>
      <c r="H3" s="972"/>
      <c r="I3" s="972"/>
      <c r="J3" s="971"/>
      <c r="K3" s="974"/>
      <c r="L3" s="974"/>
      <c r="M3" s="973"/>
      <c r="N3" s="974" t="s">
        <v>41</v>
      </c>
      <c r="O3" s="975"/>
      <c r="P3" s="975"/>
      <c r="Q3" s="975"/>
      <c r="R3" s="975"/>
      <c r="S3" s="975"/>
      <c r="T3" s="972"/>
    </row>
    <row r="4" spans="1:20" ht="15">
      <c r="A4" s="971"/>
      <c r="B4" s="972"/>
      <c r="C4" s="972"/>
      <c r="D4" s="972"/>
      <c r="E4" s="972"/>
      <c r="F4" s="972"/>
      <c r="G4" s="972"/>
      <c r="H4" s="972"/>
      <c r="I4" s="972"/>
      <c r="J4" s="971"/>
      <c r="K4" s="974"/>
      <c r="L4" s="974"/>
      <c r="M4" s="973"/>
      <c r="N4" s="974" t="s">
        <v>188</v>
      </c>
      <c r="O4" s="975"/>
      <c r="P4" s="975"/>
      <c r="Q4" s="975"/>
      <c r="R4" s="975"/>
      <c r="S4" s="975"/>
      <c r="T4" s="972"/>
    </row>
    <row r="5" spans="1:20" ht="15">
      <c r="A5" s="971"/>
      <c r="B5" s="972"/>
      <c r="C5" s="972"/>
      <c r="D5" s="972"/>
      <c r="E5" s="972"/>
      <c r="F5" s="972"/>
      <c r="G5" s="972"/>
      <c r="H5" s="972"/>
      <c r="I5" s="972"/>
      <c r="J5" s="971"/>
      <c r="K5" s="978"/>
      <c r="L5" s="978"/>
      <c r="M5" s="978"/>
      <c r="N5" s="974" t="s">
        <v>189</v>
      </c>
      <c r="O5" s="975"/>
      <c r="P5" s="975"/>
      <c r="Q5" s="975"/>
      <c r="R5" s="975"/>
      <c r="S5" s="975"/>
      <c r="T5" s="972"/>
    </row>
    <row r="6" spans="1:20" ht="12.75">
      <c r="A6" s="971"/>
      <c r="B6" s="972"/>
      <c r="C6" s="972"/>
      <c r="D6" s="972"/>
      <c r="E6" s="972"/>
      <c r="F6" s="972"/>
      <c r="G6" s="972"/>
      <c r="H6" s="972"/>
      <c r="I6" s="972"/>
      <c r="J6" s="971"/>
      <c r="K6" s="971"/>
      <c r="L6" s="971"/>
      <c r="M6" s="975"/>
      <c r="N6" s="975"/>
      <c r="O6" s="971"/>
      <c r="P6" s="975"/>
      <c r="Q6" s="972"/>
      <c r="R6" s="972"/>
      <c r="S6" s="972"/>
      <c r="T6" s="972"/>
    </row>
    <row r="7" spans="1:20" ht="12.75">
      <c r="A7" s="1943" t="s">
        <v>180</v>
      </c>
      <c r="B7" s="1943"/>
      <c r="C7" s="1943"/>
      <c r="D7" s="1943"/>
      <c r="E7" s="1943"/>
      <c r="F7" s="1943"/>
      <c r="G7" s="1943"/>
      <c r="H7" s="1943"/>
      <c r="I7" s="1943"/>
      <c r="J7" s="1943"/>
      <c r="K7" s="1943"/>
      <c r="L7" s="1943"/>
      <c r="M7" s="1943"/>
      <c r="N7" s="1943"/>
      <c r="O7" s="1943"/>
      <c r="P7" s="1943"/>
      <c r="Q7" s="1943"/>
      <c r="R7" s="1943"/>
      <c r="S7" s="972"/>
      <c r="T7" s="972"/>
    </row>
    <row r="8" spans="1:20" ht="12.75">
      <c r="A8" s="1943" t="s">
        <v>190</v>
      </c>
      <c r="B8" s="1943"/>
      <c r="C8" s="1943"/>
      <c r="D8" s="1943"/>
      <c r="E8" s="1943"/>
      <c r="F8" s="1943"/>
      <c r="G8" s="1943"/>
      <c r="H8" s="1943"/>
      <c r="I8" s="1943"/>
      <c r="J8" s="1943"/>
      <c r="K8" s="1943"/>
      <c r="L8" s="1943"/>
      <c r="M8" s="1943"/>
      <c r="N8" s="1943"/>
      <c r="O8" s="1943"/>
      <c r="P8" s="1943"/>
      <c r="Q8" s="1943"/>
      <c r="R8" s="1943"/>
      <c r="S8" s="972"/>
      <c r="T8" s="972"/>
    </row>
    <row r="9" spans="1:20" ht="12.75">
      <c r="A9" s="1943" t="s">
        <v>293</v>
      </c>
      <c r="B9" s="1943"/>
      <c r="C9" s="1943"/>
      <c r="D9" s="1943"/>
      <c r="E9" s="1943"/>
      <c r="F9" s="1943"/>
      <c r="G9" s="1943"/>
      <c r="H9" s="1943"/>
      <c r="I9" s="1943"/>
      <c r="J9" s="1943"/>
      <c r="K9" s="1943"/>
      <c r="L9" s="1943"/>
      <c r="M9" s="1943"/>
      <c r="N9" s="1943"/>
      <c r="O9" s="1943"/>
      <c r="P9" s="1943"/>
      <c r="Q9" s="1943"/>
      <c r="R9" s="1943"/>
      <c r="S9" s="972"/>
      <c r="T9" s="972"/>
    </row>
    <row r="10" spans="1:20" ht="12.75">
      <c r="A10" s="1943" t="s">
        <v>2</v>
      </c>
      <c r="B10" s="1943"/>
      <c r="C10" s="1943"/>
      <c r="D10" s="1943"/>
      <c r="E10" s="1943"/>
      <c r="F10" s="1943"/>
      <c r="G10" s="1943"/>
      <c r="H10" s="1943"/>
      <c r="I10" s="1943"/>
      <c r="J10" s="1943"/>
      <c r="K10" s="1943"/>
      <c r="L10" s="1943"/>
      <c r="M10" s="1943"/>
      <c r="N10" s="1943"/>
      <c r="O10" s="1943"/>
      <c r="P10" s="1943"/>
      <c r="Q10" s="1943"/>
      <c r="R10" s="1943"/>
      <c r="S10" s="972"/>
      <c r="T10" s="972"/>
    </row>
    <row r="11" spans="1:20" ht="13.5" thickBot="1">
      <c r="A11" s="971"/>
      <c r="B11" s="972"/>
      <c r="C11" s="972"/>
      <c r="D11" s="972"/>
      <c r="E11" s="972"/>
      <c r="F11" s="972"/>
      <c r="G11" s="972"/>
      <c r="H11" s="972"/>
      <c r="I11" s="972"/>
      <c r="J11" s="971"/>
      <c r="K11" s="972"/>
      <c r="L11" s="972"/>
      <c r="M11" s="972"/>
      <c r="N11" s="972"/>
      <c r="O11" s="971"/>
      <c r="P11" s="972"/>
      <c r="Q11" s="972"/>
      <c r="R11" s="972"/>
      <c r="S11" s="972"/>
      <c r="T11" s="972"/>
    </row>
    <row r="12" spans="1:20" ht="13.5" thickBot="1">
      <c r="A12" s="1916" t="s">
        <v>128</v>
      </c>
      <c r="B12" s="1919" t="s">
        <v>6</v>
      </c>
      <c r="C12" s="1922" t="s">
        <v>191</v>
      </c>
      <c r="D12" s="1923"/>
      <c r="E12" s="1923"/>
      <c r="F12" s="1923"/>
      <c r="G12" s="1923"/>
      <c r="H12" s="1923"/>
      <c r="I12" s="1923"/>
      <c r="J12" s="1923"/>
      <c r="K12" s="1923"/>
      <c r="L12" s="1923"/>
      <c r="M12" s="1923"/>
      <c r="N12" s="1923"/>
      <c r="O12" s="1923"/>
      <c r="P12" s="1923"/>
      <c r="Q12" s="1923"/>
      <c r="R12" s="1923"/>
      <c r="S12" s="1923"/>
      <c r="T12" s="1924"/>
    </row>
    <row r="13" spans="1:20" ht="14.25" customHeight="1">
      <c r="A13" s="1917"/>
      <c r="B13" s="1920"/>
      <c r="C13" s="1925" t="s">
        <v>192</v>
      </c>
      <c r="D13" s="1927" t="s">
        <v>193</v>
      </c>
      <c r="E13" s="1929" t="s">
        <v>194</v>
      </c>
      <c r="F13" s="1931" t="s">
        <v>193</v>
      </c>
      <c r="G13" s="1933" t="s">
        <v>49</v>
      </c>
      <c r="H13" s="1935" t="s">
        <v>195</v>
      </c>
      <c r="I13" s="1937" t="s">
        <v>207</v>
      </c>
      <c r="J13" s="1939" t="s">
        <v>197</v>
      </c>
      <c r="K13" s="1931" t="s">
        <v>198</v>
      </c>
      <c r="L13" s="1933" t="s">
        <v>49</v>
      </c>
      <c r="M13" s="1939" t="s">
        <v>199</v>
      </c>
      <c r="N13" s="1941" t="s">
        <v>196</v>
      </c>
      <c r="O13" s="1914" t="s">
        <v>49</v>
      </c>
      <c r="P13" s="1908" t="s">
        <v>200</v>
      </c>
      <c r="Q13" s="1908" t="s">
        <v>201</v>
      </c>
      <c r="R13" s="1908" t="s">
        <v>202</v>
      </c>
      <c r="S13" s="1910" t="s">
        <v>49</v>
      </c>
      <c r="T13" s="1912" t="s">
        <v>286</v>
      </c>
    </row>
    <row r="14" spans="1:33" ht="93.75" customHeight="1" thickBot="1">
      <c r="A14" s="1918"/>
      <c r="B14" s="1921"/>
      <c r="C14" s="1926"/>
      <c r="D14" s="1928"/>
      <c r="E14" s="1930"/>
      <c r="F14" s="1932"/>
      <c r="G14" s="1934"/>
      <c r="H14" s="1936"/>
      <c r="I14" s="1938"/>
      <c r="J14" s="1940"/>
      <c r="K14" s="1932"/>
      <c r="L14" s="1934"/>
      <c r="M14" s="1940"/>
      <c r="N14" s="1942"/>
      <c r="O14" s="1915"/>
      <c r="P14" s="1909"/>
      <c r="Q14" s="1909"/>
      <c r="R14" s="1909"/>
      <c r="S14" s="1911"/>
      <c r="T14" s="1913"/>
      <c r="V14" s="979"/>
      <c r="W14" s="979"/>
      <c r="X14" s="979"/>
      <c r="Y14" s="979"/>
      <c r="Z14" s="979"/>
      <c r="AA14" s="979"/>
      <c r="AB14" s="979"/>
      <c r="AC14" s="979"/>
      <c r="AD14" s="979"/>
      <c r="AE14" s="979"/>
      <c r="AF14" s="979"/>
      <c r="AG14" s="979"/>
    </row>
    <row r="15" spans="1:33" ht="10.5" customHeight="1" thickBot="1">
      <c r="A15" s="980"/>
      <c r="B15" s="981"/>
      <c r="C15" s="982"/>
      <c r="D15" s="983"/>
      <c r="E15" s="982"/>
      <c r="F15" s="984"/>
      <c r="G15" s="983"/>
      <c r="H15" s="982"/>
      <c r="I15" s="983"/>
      <c r="J15" s="982"/>
      <c r="K15" s="984"/>
      <c r="L15" s="983"/>
      <c r="M15" s="982"/>
      <c r="N15" s="983"/>
      <c r="O15" s="985"/>
      <c r="P15" s="986"/>
      <c r="Q15" s="986"/>
      <c r="R15" s="986"/>
      <c r="S15" s="987"/>
      <c r="T15" s="988"/>
      <c r="U15" s="232"/>
      <c r="V15" s="1906"/>
      <c r="W15" s="1904"/>
      <c r="X15" s="1904"/>
      <c r="Y15" s="1904"/>
      <c r="Z15" s="1904"/>
      <c r="AA15" s="1904"/>
      <c r="AB15" s="1904"/>
      <c r="AC15" s="1904"/>
      <c r="AD15" s="1904"/>
      <c r="AE15" s="1905"/>
      <c r="AF15" s="1906"/>
      <c r="AG15" s="979"/>
    </row>
    <row r="16" spans="1:33" ht="15" customHeight="1">
      <c r="A16" s="989">
        <v>1</v>
      </c>
      <c r="B16" s="848" t="s">
        <v>103</v>
      </c>
      <c r="C16" s="990"/>
      <c r="D16" s="991"/>
      <c r="E16" s="990"/>
      <c r="F16" s="992">
        <f aca="true" t="shared" si="0" ref="F16:F23">E16*0.55</f>
        <v>0</v>
      </c>
      <c r="G16" s="991"/>
      <c r="H16" s="990"/>
      <c r="I16" s="991"/>
      <c r="J16" s="993"/>
      <c r="K16" s="994">
        <f>J16*0.31</f>
        <v>0</v>
      </c>
      <c r="L16" s="991"/>
      <c r="M16" s="995">
        <v>1</v>
      </c>
      <c r="N16" s="991">
        <f>M16*5.76269</f>
        <v>5.76269</v>
      </c>
      <c r="O16" s="996" t="s">
        <v>185</v>
      </c>
      <c r="P16" s="997"/>
      <c r="Q16" s="998"/>
      <c r="R16" s="998"/>
      <c r="S16" s="999"/>
      <c r="T16" s="1000"/>
      <c r="U16" s="232"/>
      <c r="V16" s="1906"/>
      <c r="W16" s="1904"/>
      <c r="X16" s="1904"/>
      <c r="Y16" s="1904"/>
      <c r="Z16" s="1904"/>
      <c r="AA16" s="1904"/>
      <c r="AB16" s="1904"/>
      <c r="AC16" s="1904"/>
      <c r="AD16" s="1904"/>
      <c r="AE16" s="1905"/>
      <c r="AF16" s="1906"/>
      <c r="AG16" s="979"/>
    </row>
    <row r="17" spans="1:33" ht="15" customHeight="1">
      <c r="A17" s="470">
        <f aca="true" t="shared" si="1" ref="A17:A54">A16+1</f>
        <v>2</v>
      </c>
      <c r="B17" s="1001" t="s">
        <v>55</v>
      </c>
      <c r="C17" s="1002"/>
      <c r="D17" s="1003"/>
      <c r="E17" s="1002"/>
      <c r="F17" s="992">
        <f t="shared" si="0"/>
        <v>0</v>
      </c>
      <c r="G17" s="1003"/>
      <c r="H17" s="1002"/>
      <c r="I17" s="1003"/>
      <c r="J17" s="1004"/>
      <c r="K17" s="1005">
        <f>J17*0.31</f>
        <v>0</v>
      </c>
      <c r="L17" s="1003"/>
      <c r="M17" s="1004">
        <v>4</v>
      </c>
      <c r="N17" s="1003">
        <v>23.83338</v>
      </c>
      <c r="O17" s="1006" t="s">
        <v>720</v>
      </c>
      <c r="P17" s="997"/>
      <c r="Q17" s="997"/>
      <c r="R17" s="997"/>
      <c r="S17" s="999"/>
      <c r="T17" s="1007"/>
      <c r="U17" s="232"/>
      <c r="V17" s="831"/>
      <c r="W17" s="832"/>
      <c r="X17" s="833"/>
      <c r="Y17" s="979"/>
      <c r="Z17" s="979"/>
      <c r="AA17" s="979"/>
      <c r="AB17" s="979"/>
      <c r="AC17" s="979"/>
      <c r="AD17" s="979"/>
      <c r="AE17" s="979"/>
      <c r="AF17" s="979"/>
      <c r="AG17" s="979"/>
    </row>
    <row r="18" spans="1:24" ht="15" customHeight="1">
      <c r="A18" s="470">
        <f t="shared" si="1"/>
        <v>3</v>
      </c>
      <c r="B18" s="849" t="s">
        <v>30</v>
      </c>
      <c r="C18" s="1002"/>
      <c r="D18" s="1003"/>
      <c r="E18" s="1008"/>
      <c r="F18" s="992">
        <f t="shared" si="0"/>
        <v>0</v>
      </c>
      <c r="G18" s="1003"/>
      <c r="H18" s="1002"/>
      <c r="I18" s="1003"/>
      <c r="J18" s="1004"/>
      <c r="K18" s="1005"/>
      <c r="L18" s="1003"/>
      <c r="M18" s="1004">
        <v>1</v>
      </c>
      <c r="N18" s="1003">
        <f>M18*6.154</f>
        <v>6.154</v>
      </c>
      <c r="O18" s="1006" t="s">
        <v>683</v>
      </c>
      <c r="P18" s="997"/>
      <c r="Q18" s="997"/>
      <c r="R18" s="997"/>
      <c r="S18" s="999"/>
      <c r="T18" s="1000"/>
      <c r="U18" s="232"/>
      <c r="V18" s="232"/>
      <c r="W18" s="233"/>
      <c r="X18" s="828"/>
    </row>
    <row r="19" spans="1:24" ht="15" customHeight="1">
      <c r="A19" s="470">
        <f t="shared" si="1"/>
        <v>4</v>
      </c>
      <c r="B19" s="849" t="s">
        <v>474</v>
      </c>
      <c r="C19" s="1002"/>
      <c r="D19" s="1003"/>
      <c r="E19" s="1008"/>
      <c r="F19" s="992">
        <f t="shared" si="0"/>
        <v>0</v>
      </c>
      <c r="G19" s="1003"/>
      <c r="H19" s="1002"/>
      <c r="I19" s="1003"/>
      <c r="J19" s="1004"/>
      <c r="K19" s="1005"/>
      <c r="L19" s="1003"/>
      <c r="M19" s="1004">
        <v>3</v>
      </c>
      <c r="N19" s="1003">
        <f>M19*6.154</f>
        <v>18.462</v>
      </c>
      <c r="O19" s="1006" t="s">
        <v>683</v>
      </c>
      <c r="P19" s="997"/>
      <c r="Q19" s="997"/>
      <c r="R19" s="997"/>
      <c r="S19" s="999"/>
      <c r="T19" s="1000"/>
      <c r="U19" s="232"/>
      <c r="V19" s="232"/>
      <c r="W19" s="233"/>
      <c r="X19" s="828"/>
    </row>
    <row r="20" spans="1:24" ht="15" customHeight="1">
      <c r="A20" s="470">
        <f t="shared" si="1"/>
        <v>5</v>
      </c>
      <c r="B20" s="850" t="s">
        <v>475</v>
      </c>
      <c r="C20" s="1002"/>
      <c r="D20" s="1003"/>
      <c r="E20" s="1008"/>
      <c r="F20" s="992">
        <f t="shared" si="0"/>
        <v>0</v>
      </c>
      <c r="G20" s="1003"/>
      <c r="H20" s="1002"/>
      <c r="I20" s="1003"/>
      <c r="J20" s="1009">
        <v>2</v>
      </c>
      <c r="K20" s="1005">
        <f>J20*0.31</f>
        <v>0.62</v>
      </c>
      <c r="L20" s="1003"/>
      <c r="M20" s="1004">
        <v>4</v>
      </c>
      <c r="N20" s="1003">
        <v>33.68738</v>
      </c>
      <c r="O20" s="1006" t="s">
        <v>721</v>
      </c>
      <c r="P20" s="997"/>
      <c r="Q20" s="997"/>
      <c r="R20" s="997"/>
      <c r="S20" s="999"/>
      <c r="T20" s="1000"/>
      <c r="U20" s="232"/>
      <c r="V20" s="232"/>
      <c r="W20" s="233"/>
      <c r="X20" s="828"/>
    </row>
    <row r="21" spans="1:24" ht="15" customHeight="1">
      <c r="A21" s="470">
        <f t="shared" si="1"/>
        <v>6</v>
      </c>
      <c r="B21" s="851" t="s">
        <v>56</v>
      </c>
      <c r="C21" s="1010"/>
      <c r="D21" s="1003"/>
      <c r="E21" s="1008"/>
      <c r="F21" s="992">
        <f t="shared" si="0"/>
        <v>0</v>
      </c>
      <c r="G21" s="1003"/>
      <c r="H21" s="1002"/>
      <c r="I21" s="1003"/>
      <c r="J21" s="1004">
        <v>3</v>
      </c>
      <c r="K21" s="1005">
        <f>J21*0.31</f>
        <v>0.9299999999999999</v>
      </c>
      <c r="L21" s="1003"/>
      <c r="M21" s="1004">
        <v>2</v>
      </c>
      <c r="N21" s="1003">
        <f>M21*11.081</f>
        <v>22.162</v>
      </c>
      <c r="O21" s="1006" t="s">
        <v>682</v>
      </c>
      <c r="P21" s="997"/>
      <c r="Q21" s="997"/>
      <c r="R21" s="997"/>
      <c r="S21" s="999"/>
      <c r="T21" s="1000"/>
      <c r="U21" s="232"/>
      <c r="V21" s="232"/>
      <c r="W21" s="233"/>
      <c r="X21" s="828"/>
    </row>
    <row r="22" spans="1:24" ht="15" customHeight="1">
      <c r="A22" s="470">
        <f t="shared" si="1"/>
        <v>7</v>
      </c>
      <c r="B22" s="851" t="s">
        <v>58</v>
      </c>
      <c r="C22" s="1010"/>
      <c r="D22" s="1003"/>
      <c r="E22" s="1002"/>
      <c r="F22" s="992">
        <f t="shared" si="0"/>
        <v>0</v>
      </c>
      <c r="G22" s="1003"/>
      <c r="H22" s="1002"/>
      <c r="I22" s="1003"/>
      <c r="J22" s="1004">
        <v>3</v>
      </c>
      <c r="K22" s="1005">
        <f>J22*0.31</f>
        <v>0.9299999999999999</v>
      </c>
      <c r="L22" s="1003"/>
      <c r="M22" s="1004">
        <v>4</v>
      </c>
      <c r="N22" s="1003">
        <f>M22*11.081</f>
        <v>44.324</v>
      </c>
      <c r="O22" s="1006" t="s">
        <v>686</v>
      </c>
      <c r="P22" s="997"/>
      <c r="Q22" s="997"/>
      <c r="R22" s="997"/>
      <c r="S22" s="999"/>
      <c r="T22" s="1000"/>
      <c r="U22" s="232"/>
      <c r="V22" s="232"/>
      <c r="W22" s="233"/>
      <c r="X22" s="828"/>
    </row>
    <row r="23" spans="1:24" ht="15" customHeight="1">
      <c r="A23" s="470">
        <f t="shared" si="1"/>
        <v>8</v>
      </c>
      <c r="B23" s="849" t="s">
        <v>104</v>
      </c>
      <c r="C23" s="1010">
        <v>49.980000000000004</v>
      </c>
      <c r="D23" s="1011">
        <f aca="true" t="shared" si="2" ref="D23:D29">C23*10.714286</f>
        <v>535.5000142800001</v>
      </c>
      <c r="E23" s="1002"/>
      <c r="F23" s="992">
        <f t="shared" si="0"/>
        <v>0</v>
      </c>
      <c r="G23" s="1003"/>
      <c r="H23" s="1002"/>
      <c r="I23" s="1003"/>
      <c r="J23" s="1012"/>
      <c r="K23" s="1005">
        <f>J23*0.31</f>
        <v>0</v>
      </c>
      <c r="L23" s="1003"/>
      <c r="M23" s="1013">
        <v>2</v>
      </c>
      <c r="N23" s="1003">
        <f>M23*6.154</f>
        <v>12.308</v>
      </c>
      <c r="O23" s="1006" t="s">
        <v>683</v>
      </c>
      <c r="P23" s="997"/>
      <c r="Q23" s="998"/>
      <c r="R23" s="998"/>
      <c r="S23" s="999"/>
      <c r="T23" s="1000"/>
      <c r="V23" s="232"/>
      <c r="W23" s="233"/>
      <c r="X23" s="828"/>
    </row>
    <row r="24" spans="1:24" ht="15" customHeight="1">
      <c r="A24" s="470">
        <f t="shared" si="1"/>
        <v>9</v>
      </c>
      <c r="B24" s="849" t="s">
        <v>315</v>
      </c>
      <c r="C24" s="1010">
        <v>49.518</v>
      </c>
      <c r="D24" s="1011">
        <f t="shared" si="2"/>
        <v>530.550014148</v>
      </c>
      <c r="E24" s="1002">
        <v>178</v>
      </c>
      <c r="F24" s="992">
        <f>E24*0.55</f>
        <v>97.9</v>
      </c>
      <c r="G24" s="1003"/>
      <c r="H24" s="1002"/>
      <c r="I24" s="1003"/>
      <c r="J24" s="1012"/>
      <c r="K24" s="1005">
        <f>J24*0.31</f>
        <v>0</v>
      </c>
      <c r="L24" s="1003"/>
      <c r="M24" s="1013">
        <v>2</v>
      </c>
      <c r="N24" s="1003">
        <f>M24*6.154</f>
        <v>12.308</v>
      </c>
      <c r="O24" s="1006" t="s">
        <v>683</v>
      </c>
      <c r="P24" s="997"/>
      <c r="Q24" s="998"/>
      <c r="R24" s="998"/>
      <c r="S24" s="999"/>
      <c r="T24" s="1000"/>
      <c r="V24" s="232"/>
      <c r="W24" s="233"/>
      <c r="X24" s="828"/>
    </row>
    <row r="25" spans="1:24" ht="15" customHeight="1">
      <c r="A25" s="470">
        <f t="shared" si="1"/>
        <v>10</v>
      </c>
      <c r="B25" s="849" t="s">
        <v>59</v>
      </c>
      <c r="C25" s="1010"/>
      <c r="D25" s="1011">
        <f t="shared" si="2"/>
        <v>0</v>
      </c>
      <c r="E25" s="1002"/>
      <c r="F25" s="992">
        <f aca="true" t="shared" si="3" ref="F25:F54">E25*0.55</f>
        <v>0</v>
      </c>
      <c r="G25" s="1003"/>
      <c r="H25" s="1002"/>
      <c r="I25" s="1003"/>
      <c r="J25" s="1012"/>
      <c r="K25" s="1005"/>
      <c r="L25" s="1003"/>
      <c r="M25" s="1013">
        <v>2</v>
      </c>
      <c r="N25" s="1003">
        <f>M25*6.154</f>
        <v>12.308</v>
      </c>
      <c r="O25" s="1006" t="s">
        <v>683</v>
      </c>
      <c r="P25" s="997"/>
      <c r="Q25" s="998"/>
      <c r="R25" s="998"/>
      <c r="S25" s="999"/>
      <c r="T25" s="1000"/>
      <c r="V25" s="234"/>
      <c r="W25" s="232"/>
      <c r="X25" s="828"/>
    </row>
    <row r="26" spans="1:24" ht="15" customHeight="1">
      <c r="A26" s="470">
        <f t="shared" si="1"/>
        <v>11</v>
      </c>
      <c r="B26" s="849" t="s">
        <v>314</v>
      </c>
      <c r="C26" s="1010"/>
      <c r="D26" s="1011">
        <f t="shared" si="2"/>
        <v>0</v>
      </c>
      <c r="E26" s="1002"/>
      <c r="F26" s="992">
        <f t="shared" si="3"/>
        <v>0</v>
      </c>
      <c r="G26" s="1003"/>
      <c r="H26" s="1002"/>
      <c r="I26" s="1003"/>
      <c r="J26" s="1009">
        <v>2</v>
      </c>
      <c r="K26" s="1005">
        <f>J26*0.31</f>
        <v>0.62</v>
      </c>
      <c r="L26" s="1003"/>
      <c r="M26" s="1004"/>
      <c r="N26" s="1003">
        <f>M26*5.76269</f>
        <v>0</v>
      </c>
      <c r="O26" s="1006"/>
      <c r="P26" s="997"/>
      <c r="Q26" s="997"/>
      <c r="R26" s="998"/>
      <c r="S26" s="999"/>
      <c r="T26" s="1000"/>
      <c r="U26" s="232"/>
      <c r="V26" s="234"/>
      <c r="W26" s="232"/>
      <c r="X26" s="828"/>
    </row>
    <row r="27" spans="1:24" ht="15" customHeight="1">
      <c r="A27" s="470">
        <f t="shared" si="1"/>
        <v>12</v>
      </c>
      <c r="B27" s="849" t="s">
        <v>492</v>
      </c>
      <c r="C27" s="1010">
        <v>17.332</v>
      </c>
      <c r="D27" s="1011">
        <f t="shared" si="2"/>
        <v>185.700004952</v>
      </c>
      <c r="E27" s="1002"/>
      <c r="F27" s="992">
        <f t="shared" si="3"/>
        <v>0</v>
      </c>
      <c r="G27" s="1003"/>
      <c r="H27" s="1002"/>
      <c r="I27" s="1003"/>
      <c r="J27" s="1009"/>
      <c r="K27" s="1005"/>
      <c r="L27" s="1003"/>
      <c r="M27" s="1004"/>
      <c r="N27" s="1003"/>
      <c r="O27" s="1006"/>
      <c r="P27" s="997"/>
      <c r="Q27" s="997"/>
      <c r="R27" s="998"/>
      <c r="S27" s="999"/>
      <c r="T27" s="1000"/>
      <c r="U27" s="232"/>
      <c r="V27" s="234"/>
      <c r="W27" s="232"/>
      <c r="X27" s="828"/>
    </row>
    <row r="28" spans="1:24" ht="15" customHeight="1">
      <c r="A28" s="470">
        <f t="shared" si="1"/>
        <v>13</v>
      </c>
      <c r="B28" s="849" t="s">
        <v>495</v>
      </c>
      <c r="C28" s="1010">
        <v>37.002</v>
      </c>
      <c r="D28" s="1011">
        <f t="shared" si="2"/>
        <v>396.450010572</v>
      </c>
      <c r="E28" s="1002"/>
      <c r="F28" s="992">
        <f t="shared" si="3"/>
        <v>0</v>
      </c>
      <c r="G28" s="1003"/>
      <c r="H28" s="1002"/>
      <c r="I28" s="1003"/>
      <c r="J28" s="1009"/>
      <c r="K28" s="1005"/>
      <c r="L28" s="1003"/>
      <c r="M28" s="1004"/>
      <c r="N28" s="1003"/>
      <c r="O28" s="1006"/>
      <c r="P28" s="997"/>
      <c r="Q28" s="997"/>
      <c r="R28" s="998"/>
      <c r="S28" s="999"/>
      <c r="T28" s="1000"/>
      <c r="U28" s="232"/>
      <c r="V28" s="234"/>
      <c r="W28" s="232"/>
      <c r="X28" s="828"/>
    </row>
    <row r="29" spans="1:24" ht="15" customHeight="1">
      <c r="A29" s="470">
        <f t="shared" si="1"/>
        <v>14</v>
      </c>
      <c r="B29" s="849" t="s">
        <v>499</v>
      </c>
      <c r="C29" s="1010">
        <v>28.028000000000002</v>
      </c>
      <c r="D29" s="1011">
        <f t="shared" si="2"/>
        <v>300.300008008</v>
      </c>
      <c r="E29" s="1002"/>
      <c r="F29" s="992">
        <f t="shared" si="3"/>
        <v>0</v>
      </c>
      <c r="G29" s="1003"/>
      <c r="H29" s="1002"/>
      <c r="I29" s="1003"/>
      <c r="J29" s="1009"/>
      <c r="K29" s="1005"/>
      <c r="L29" s="1003"/>
      <c r="M29" s="1004"/>
      <c r="N29" s="1003"/>
      <c r="O29" s="1006"/>
      <c r="P29" s="997"/>
      <c r="Q29" s="997"/>
      <c r="R29" s="998"/>
      <c r="S29" s="999"/>
      <c r="T29" s="1000"/>
      <c r="U29" s="232"/>
      <c r="V29" s="234"/>
      <c r="W29" s="232"/>
      <c r="X29" s="828"/>
    </row>
    <row r="30" spans="1:24" ht="15" customHeight="1">
      <c r="A30" s="470">
        <f t="shared" si="1"/>
        <v>15</v>
      </c>
      <c r="B30" s="849" t="s">
        <v>317</v>
      </c>
      <c r="C30" s="1010"/>
      <c r="D30" s="1003"/>
      <c r="E30" s="1002"/>
      <c r="F30" s="992">
        <f t="shared" si="3"/>
        <v>0</v>
      </c>
      <c r="G30" s="1003"/>
      <c r="H30" s="1002"/>
      <c r="I30" s="1003"/>
      <c r="J30" s="1009"/>
      <c r="K30" s="1005"/>
      <c r="L30" s="1003"/>
      <c r="M30" s="1004">
        <v>1</v>
      </c>
      <c r="N30" s="1003">
        <f>M30*6.154</f>
        <v>6.154</v>
      </c>
      <c r="O30" s="1006" t="s">
        <v>683</v>
      </c>
      <c r="P30" s="997"/>
      <c r="Q30" s="997"/>
      <c r="R30" s="998"/>
      <c r="S30" s="999"/>
      <c r="T30" s="1000"/>
      <c r="U30" s="232"/>
      <c r="V30" s="234"/>
      <c r="W30" s="232"/>
      <c r="X30" s="828"/>
    </row>
    <row r="31" spans="1:24" ht="15" customHeight="1">
      <c r="A31" s="470">
        <f t="shared" si="1"/>
        <v>16</v>
      </c>
      <c r="B31" s="851" t="s">
        <v>418</v>
      </c>
      <c r="C31" s="1002"/>
      <c r="D31" s="1003"/>
      <c r="E31" s="1002"/>
      <c r="F31" s="992">
        <f t="shared" si="3"/>
        <v>0</v>
      </c>
      <c r="G31" s="1003"/>
      <c r="H31" s="1002"/>
      <c r="I31" s="1003"/>
      <c r="J31" s="1009"/>
      <c r="K31" s="1005">
        <f>J31*0.31</f>
        <v>0</v>
      </c>
      <c r="L31" s="1003"/>
      <c r="M31" s="1004">
        <v>1</v>
      </c>
      <c r="N31" s="1003">
        <f>M31*5.76269</f>
        <v>5.76269</v>
      </c>
      <c r="O31" s="1006" t="s">
        <v>685</v>
      </c>
      <c r="P31" s="997"/>
      <c r="Q31" s="997"/>
      <c r="R31" s="997"/>
      <c r="S31" s="999"/>
      <c r="T31" s="988"/>
      <c r="V31" s="232"/>
      <c r="W31" s="234"/>
      <c r="X31" s="829"/>
    </row>
    <row r="32" spans="1:24" ht="15" customHeight="1">
      <c r="A32" s="470">
        <f t="shared" si="1"/>
        <v>17</v>
      </c>
      <c r="B32" s="851" t="s">
        <v>514</v>
      </c>
      <c r="C32" s="1002"/>
      <c r="D32" s="1003"/>
      <c r="E32" s="1002"/>
      <c r="F32" s="992">
        <f t="shared" si="3"/>
        <v>0</v>
      </c>
      <c r="G32" s="1003"/>
      <c r="H32" s="1002"/>
      <c r="I32" s="1003"/>
      <c r="J32" s="1009"/>
      <c r="K32" s="1005"/>
      <c r="L32" s="1003"/>
      <c r="M32" s="1004">
        <v>1</v>
      </c>
      <c r="N32" s="1003">
        <f>M32*5.76269</f>
        <v>5.76269</v>
      </c>
      <c r="O32" s="1006" t="s">
        <v>185</v>
      </c>
      <c r="P32" s="997"/>
      <c r="Q32" s="997"/>
      <c r="R32" s="997"/>
      <c r="S32" s="999"/>
      <c r="T32" s="988"/>
      <c r="V32" s="234"/>
      <c r="W32" s="232"/>
      <c r="X32" s="828"/>
    </row>
    <row r="33" spans="1:24" ht="15" customHeight="1">
      <c r="A33" s="470">
        <f t="shared" si="1"/>
        <v>18</v>
      </c>
      <c r="B33" s="851" t="s">
        <v>510</v>
      </c>
      <c r="C33" s="1002"/>
      <c r="D33" s="1003"/>
      <c r="E33" s="1002"/>
      <c r="F33" s="992">
        <f t="shared" si="3"/>
        <v>0</v>
      </c>
      <c r="G33" s="1003"/>
      <c r="H33" s="1002"/>
      <c r="I33" s="1003"/>
      <c r="J33" s="1004">
        <v>2</v>
      </c>
      <c r="K33" s="1005">
        <f>J33*0.31</f>
        <v>0.62</v>
      </c>
      <c r="L33" s="1003"/>
      <c r="M33" s="1004"/>
      <c r="N33" s="1003">
        <f>M33*5.76269</f>
        <v>0</v>
      </c>
      <c r="O33" s="1006"/>
      <c r="P33" s="997"/>
      <c r="Q33" s="997"/>
      <c r="R33" s="997"/>
      <c r="S33" s="999"/>
      <c r="T33" s="1000"/>
      <c r="U33" s="232"/>
      <c r="V33" s="232"/>
      <c r="W33" s="234"/>
      <c r="X33" s="829"/>
    </row>
    <row r="34" spans="1:24" ht="15" customHeight="1">
      <c r="A34" s="470">
        <f t="shared" si="1"/>
        <v>19</v>
      </c>
      <c r="B34" s="851" t="s">
        <v>319</v>
      </c>
      <c r="C34" s="1002"/>
      <c r="D34" s="1003"/>
      <c r="E34" s="1002"/>
      <c r="F34" s="992">
        <f t="shared" si="3"/>
        <v>0</v>
      </c>
      <c r="G34" s="1003"/>
      <c r="H34" s="1002"/>
      <c r="I34" s="1003"/>
      <c r="J34" s="1009">
        <v>2</v>
      </c>
      <c r="K34" s="1005">
        <f>J34*0.31</f>
        <v>0.62</v>
      </c>
      <c r="L34" s="1003"/>
      <c r="M34" s="1004"/>
      <c r="N34" s="1003">
        <f>M34*5.76269</f>
        <v>0</v>
      </c>
      <c r="O34" s="1006"/>
      <c r="P34" s="997"/>
      <c r="Q34" s="997"/>
      <c r="R34" s="997"/>
      <c r="S34" s="999"/>
      <c r="T34" s="1000"/>
      <c r="U34" s="232"/>
      <c r="V34" s="232"/>
      <c r="W34" s="232"/>
      <c r="X34" s="828"/>
    </row>
    <row r="35" spans="1:24" ht="15" customHeight="1">
      <c r="A35" s="470">
        <f t="shared" si="1"/>
        <v>20</v>
      </c>
      <c r="B35" s="1014" t="s">
        <v>523</v>
      </c>
      <c r="C35" s="1002"/>
      <c r="D35" s="1003"/>
      <c r="E35" s="1002"/>
      <c r="F35" s="992">
        <f t="shared" si="3"/>
        <v>0</v>
      </c>
      <c r="G35" s="1003"/>
      <c r="H35" s="1002"/>
      <c r="I35" s="1003"/>
      <c r="J35" s="1009"/>
      <c r="K35" s="1005">
        <f>J35*0.31</f>
        <v>0</v>
      </c>
      <c r="L35" s="1003"/>
      <c r="M35" s="1004">
        <v>2</v>
      </c>
      <c r="N35" s="1003">
        <f>M35*6.154</f>
        <v>12.308</v>
      </c>
      <c r="O35" s="1006" t="s">
        <v>683</v>
      </c>
      <c r="P35" s="997"/>
      <c r="Q35" s="997"/>
      <c r="R35" s="997"/>
      <c r="S35" s="999"/>
      <c r="T35" s="988"/>
      <c r="V35" s="232"/>
      <c r="W35" s="232"/>
      <c r="X35" s="828"/>
    </row>
    <row r="36" spans="1:24" ht="15" customHeight="1">
      <c r="A36" s="470">
        <f t="shared" si="1"/>
        <v>21</v>
      </c>
      <c r="B36" s="851" t="s">
        <v>385</v>
      </c>
      <c r="C36" s="1002"/>
      <c r="D36" s="1003"/>
      <c r="E36" s="1002"/>
      <c r="F36" s="992">
        <f t="shared" si="3"/>
        <v>0</v>
      </c>
      <c r="G36" s="1003"/>
      <c r="H36" s="1002"/>
      <c r="I36" s="1003"/>
      <c r="J36" s="1009"/>
      <c r="K36" s="1005">
        <f>J36*0.31</f>
        <v>0</v>
      </c>
      <c r="L36" s="1003"/>
      <c r="M36" s="1004">
        <v>2</v>
      </c>
      <c r="N36" s="1003">
        <f>M36*5.76269</f>
        <v>11.52538</v>
      </c>
      <c r="O36" s="1006" t="s">
        <v>185</v>
      </c>
      <c r="P36" s="997"/>
      <c r="Q36" s="997"/>
      <c r="R36" s="997"/>
      <c r="S36" s="999"/>
      <c r="T36" s="988"/>
      <c r="V36" s="232"/>
      <c r="W36" s="232"/>
      <c r="X36" s="828"/>
    </row>
    <row r="37" spans="1:24" ht="15" customHeight="1">
      <c r="A37" s="470">
        <f t="shared" si="1"/>
        <v>22</v>
      </c>
      <c r="B37" s="851" t="s">
        <v>120</v>
      </c>
      <c r="C37" s="1002"/>
      <c r="D37" s="1003"/>
      <c r="E37" s="1002"/>
      <c r="F37" s="992">
        <f t="shared" si="3"/>
        <v>0</v>
      </c>
      <c r="G37" s="1003"/>
      <c r="H37" s="1002"/>
      <c r="I37" s="1003"/>
      <c r="J37" s="1009"/>
      <c r="K37" s="1005">
        <f>J37*0.31</f>
        <v>0</v>
      </c>
      <c r="L37" s="1003"/>
      <c r="M37" s="1004">
        <v>1</v>
      </c>
      <c r="N37" s="1003">
        <f>M37*5.76269</f>
        <v>5.76269</v>
      </c>
      <c r="O37" s="1006" t="s">
        <v>684</v>
      </c>
      <c r="P37" s="997"/>
      <c r="Q37" s="997"/>
      <c r="R37" s="997"/>
      <c r="S37" s="999"/>
      <c r="T37" s="988"/>
      <c r="V37" s="232"/>
      <c r="W37" s="232"/>
      <c r="X37" s="828"/>
    </row>
    <row r="38" spans="1:24" ht="15" customHeight="1">
      <c r="A38" s="470">
        <f t="shared" si="1"/>
        <v>23</v>
      </c>
      <c r="B38" s="851" t="s">
        <v>121</v>
      </c>
      <c r="C38" s="1002"/>
      <c r="D38" s="1003"/>
      <c r="E38" s="1002"/>
      <c r="F38" s="992">
        <f t="shared" si="3"/>
        <v>0</v>
      </c>
      <c r="G38" s="1003"/>
      <c r="H38" s="1002"/>
      <c r="I38" s="1003"/>
      <c r="J38" s="1009"/>
      <c r="K38" s="1005"/>
      <c r="L38" s="1003"/>
      <c r="M38" s="1004">
        <v>2</v>
      </c>
      <c r="N38" s="1003">
        <v>12.57</v>
      </c>
      <c r="O38" s="1006" t="s">
        <v>185</v>
      </c>
      <c r="P38" s="997"/>
      <c r="Q38" s="997"/>
      <c r="R38" s="997"/>
      <c r="S38" s="999"/>
      <c r="T38" s="988"/>
      <c r="V38" s="232"/>
      <c r="W38" s="232"/>
      <c r="X38" s="828"/>
    </row>
    <row r="39" spans="1:24" ht="15" customHeight="1">
      <c r="A39" s="470">
        <f t="shared" si="1"/>
        <v>24</v>
      </c>
      <c r="B39" s="1015" t="s">
        <v>61</v>
      </c>
      <c r="C39" s="1002"/>
      <c r="D39" s="1003"/>
      <c r="E39" s="1002"/>
      <c r="F39" s="992">
        <f t="shared" si="3"/>
        <v>0</v>
      </c>
      <c r="G39" s="1003"/>
      <c r="H39" s="1002"/>
      <c r="I39" s="1003"/>
      <c r="J39" s="1009">
        <v>3</v>
      </c>
      <c r="K39" s="1005">
        <f aca="true" t="shared" si="4" ref="K39:K45">J39*0.31</f>
        <v>0.9299999999999999</v>
      </c>
      <c r="L39" s="1003"/>
      <c r="M39" s="1004">
        <v>4</v>
      </c>
      <c r="N39" s="1003">
        <v>23.83338</v>
      </c>
      <c r="O39" s="1006" t="s">
        <v>722</v>
      </c>
      <c r="P39" s="997"/>
      <c r="Q39" s="997"/>
      <c r="R39" s="997"/>
      <c r="S39" s="999"/>
      <c r="T39" s="1000"/>
      <c r="U39" s="232"/>
      <c r="V39" s="232"/>
      <c r="W39" s="232"/>
      <c r="X39" s="828"/>
    </row>
    <row r="40" spans="1:24" ht="15" customHeight="1">
      <c r="A40" s="470">
        <f t="shared" si="1"/>
        <v>25</v>
      </c>
      <c r="B40" s="849" t="s">
        <v>62</v>
      </c>
      <c r="C40" s="1002"/>
      <c r="D40" s="1003"/>
      <c r="E40" s="1002"/>
      <c r="F40" s="992">
        <f t="shared" si="3"/>
        <v>0</v>
      </c>
      <c r="G40" s="1003"/>
      <c r="H40" s="1002"/>
      <c r="I40" s="1003"/>
      <c r="J40" s="1009">
        <v>2</v>
      </c>
      <c r="K40" s="1005">
        <f t="shared" si="4"/>
        <v>0.62</v>
      </c>
      <c r="L40" s="1003"/>
      <c r="M40" s="1004">
        <v>1</v>
      </c>
      <c r="N40" s="1003">
        <f>M40*5.76269</f>
        <v>5.76269</v>
      </c>
      <c r="O40" s="1006" t="s">
        <v>185</v>
      </c>
      <c r="P40" s="997"/>
      <c r="Q40" s="998"/>
      <c r="R40" s="998"/>
      <c r="S40" s="999"/>
      <c r="T40" s="1000"/>
      <c r="V40" s="232"/>
      <c r="W40" s="232"/>
      <c r="X40" s="828"/>
    </row>
    <row r="41" spans="1:24" ht="15" customHeight="1">
      <c r="A41" s="470">
        <f t="shared" si="1"/>
        <v>26</v>
      </c>
      <c r="B41" s="849" t="s">
        <v>122</v>
      </c>
      <c r="C41" s="1002"/>
      <c r="D41" s="1003"/>
      <c r="E41" s="1002"/>
      <c r="F41" s="992">
        <f t="shared" si="3"/>
        <v>0</v>
      </c>
      <c r="G41" s="1003"/>
      <c r="H41" s="1002"/>
      <c r="I41" s="1003"/>
      <c r="J41" s="1009">
        <v>1</v>
      </c>
      <c r="K41" s="1005">
        <f t="shared" si="4"/>
        <v>0.31</v>
      </c>
      <c r="L41" s="1003"/>
      <c r="M41" s="1004"/>
      <c r="N41" s="1003">
        <f>M41*5.76269</f>
        <v>0</v>
      </c>
      <c r="O41" s="1006"/>
      <c r="P41" s="997"/>
      <c r="Q41" s="998"/>
      <c r="R41" s="998"/>
      <c r="S41" s="999"/>
      <c r="T41" s="1000"/>
      <c r="U41" s="232"/>
      <c r="V41" s="232"/>
      <c r="W41" s="232"/>
      <c r="X41" s="828"/>
    </row>
    <row r="42" spans="1:24" ht="15" customHeight="1">
      <c r="A42" s="470">
        <f t="shared" si="1"/>
        <v>27</v>
      </c>
      <c r="B42" s="851" t="s">
        <v>324</v>
      </c>
      <c r="C42" s="1002"/>
      <c r="D42" s="1003"/>
      <c r="E42" s="1002"/>
      <c r="F42" s="992">
        <f t="shared" si="3"/>
        <v>0</v>
      </c>
      <c r="G42" s="1003"/>
      <c r="H42" s="1002"/>
      <c r="I42" s="1003"/>
      <c r="J42" s="1009">
        <v>1</v>
      </c>
      <c r="K42" s="1005">
        <f t="shared" si="4"/>
        <v>0.31</v>
      </c>
      <c r="L42" s="1003"/>
      <c r="M42" s="1004"/>
      <c r="N42" s="1003">
        <f>M42*5.76269</f>
        <v>0</v>
      </c>
      <c r="O42" s="1006"/>
      <c r="P42" s="997"/>
      <c r="Q42" s="997"/>
      <c r="R42" s="997"/>
      <c r="S42" s="999"/>
      <c r="T42" s="1000"/>
      <c r="U42" s="232"/>
      <c r="V42" s="232"/>
      <c r="W42" s="232"/>
      <c r="X42" s="828"/>
    </row>
    <row r="43" spans="1:24" ht="15" customHeight="1">
      <c r="A43" s="470">
        <f t="shared" si="1"/>
        <v>28</v>
      </c>
      <c r="B43" s="851" t="s">
        <v>539</v>
      </c>
      <c r="C43" s="1002"/>
      <c r="D43" s="1003"/>
      <c r="E43" s="1002"/>
      <c r="F43" s="992">
        <f t="shared" si="3"/>
        <v>0</v>
      </c>
      <c r="G43" s="1003"/>
      <c r="H43" s="1002"/>
      <c r="I43" s="1003"/>
      <c r="J43" s="1009"/>
      <c r="K43" s="1005">
        <f t="shared" si="4"/>
        <v>0</v>
      </c>
      <c r="L43" s="1003"/>
      <c r="M43" s="1004">
        <v>1</v>
      </c>
      <c r="N43" s="1003">
        <f>M43*5.76269</f>
        <v>5.76269</v>
      </c>
      <c r="O43" s="1006" t="s">
        <v>185</v>
      </c>
      <c r="P43" s="997"/>
      <c r="Q43" s="997"/>
      <c r="R43" s="997"/>
      <c r="S43" s="999"/>
      <c r="T43" s="988"/>
      <c r="V43" s="232"/>
      <c r="W43" s="232"/>
      <c r="X43" s="828"/>
    </row>
    <row r="44" spans="1:24" ht="15" customHeight="1">
      <c r="A44" s="470">
        <f t="shared" si="1"/>
        <v>29</v>
      </c>
      <c r="B44" s="851" t="s">
        <v>542</v>
      </c>
      <c r="C44" s="1002"/>
      <c r="D44" s="1003"/>
      <c r="E44" s="1002"/>
      <c r="F44" s="992">
        <f t="shared" si="3"/>
        <v>0</v>
      </c>
      <c r="G44" s="1003"/>
      <c r="H44" s="1002"/>
      <c r="I44" s="1003"/>
      <c r="J44" s="1009"/>
      <c r="K44" s="1005">
        <f t="shared" si="4"/>
        <v>0</v>
      </c>
      <c r="L44" s="1003"/>
      <c r="M44" s="1004">
        <v>1</v>
      </c>
      <c r="N44" s="1003">
        <f>M44*6.154</f>
        <v>6.154</v>
      </c>
      <c r="O44" s="1006" t="s">
        <v>683</v>
      </c>
      <c r="P44" s="997"/>
      <c r="Q44" s="997"/>
      <c r="R44" s="997"/>
      <c r="S44" s="999"/>
      <c r="T44" s="988"/>
      <c r="V44" s="232"/>
      <c r="W44" s="232"/>
      <c r="X44" s="828"/>
    </row>
    <row r="45" spans="1:24" s="232" customFormat="1" ht="15" customHeight="1">
      <c r="A45" s="470">
        <f t="shared" si="1"/>
        <v>30</v>
      </c>
      <c r="B45" s="851" t="s">
        <v>123</v>
      </c>
      <c r="C45" s="1002"/>
      <c r="D45" s="1003"/>
      <c r="E45" s="1002"/>
      <c r="F45" s="992">
        <f t="shared" si="3"/>
        <v>0</v>
      </c>
      <c r="G45" s="1003"/>
      <c r="H45" s="1002"/>
      <c r="I45" s="1003"/>
      <c r="J45" s="1009"/>
      <c r="K45" s="1005">
        <f t="shared" si="4"/>
        <v>0</v>
      </c>
      <c r="L45" s="1003"/>
      <c r="M45" s="1004">
        <v>2</v>
      </c>
      <c r="N45" s="1003">
        <f>M45*5.76269</f>
        <v>11.52538</v>
      </c>
      <c r="O45" s="1006" t="s">
        <v>185</v>
      </c>
      <c r="P45" s="997"/>
      <c r="Q45" s="997"/>
      <c r="R45" s="997"/>
      <c r="S45" s="999"/>
      <c r="T45" s="988"/>
      <c r="U45" s="976"/>
      <c r="X45" s="828"/>
    </row>
    <row r="46" spans="1:24" s="232" customFormat="1" ht="15" customHeight="1">
      <c r="A46" s="470">
        <f t="shared" si="1"/>
        <v>31</v>
      </c>
      <c r="B46" s="851" t="s">
        <v>326</v>
      </c>
      <c r="C46" s="1002"/>
      <c r="D46" s="1003"/>
      <c r="E46" s="1002">
        <v>280</v>
      </c>
      <c r="F46" s="992">
        <f t="shared" si="3"/>
        <v>154</v>
      </c>
      <c r="G46" s="1003"/>
      <c r="H46" s="1002"/>
      <c r="I46" s="1003"/>
      <c r="J46" s="1009"/>
      <c r="K46" s="1005"/>
      <c r="L46" s="1003"/>
      <c r="M46" s="1004"/>
      <c r="N46" s="1003"/>
      <c r="O46" s="1006"/>
      <c r="P46" s="997"/>
      <c r="Q46" s="997"/>
      <c r="R46" s="997"/>
      <c r="S46" s="999"/>
      <c r="T46" s="988"/>
      <c r="U46" s="976"/>
      <c r="X46" s="828"/>
    </row>
    <row r="47" spans="1:24" s="232" customFormat="1" ht="15" customHeight="1">
      <c r="A47" s="470">
        <f t="shared" si="1"/>
        <v>32</v>
      </c>
      <c r="B47" s="851" t="s">
        <v>563</v>
      </c>
      <c r="C47" s="1002"/>
      <c r="D47" s="1003"/>
      <c r="E47" s="1002">
        <v>342</v>
      </c>
      <c r="F47" s="992">
        <f t="shared" si="3"/>
        <v>188.10000000000002</v>
      </c>
      <c r="G47" s="1003"/>
      <c r="H47" s="1002"/>
      <c r="I47" s="1003"/>
      <c r="J47" s="1009"/>
      <c r="K47" s="1005"/>
      <c r="L47" s="1003"/>
      <c r="M47" s="1004"/>
      <c r="N47" s="1003"/>
      <c r="O47" s="1006"/>
      <c r="P47" s="997"/>
      <c r="Q47" s="997"/>
      <c r="R47" s="997"/>
      <c r="S47" s="999"/>
      <c r="T47" s="988"/>
      <c r="U47" s="976"/>
      <c r="X47" s="828"/>
    </row>
    <row r="48" spans="1:24" s="232" customFormat="1" ht="15" customHeight="1">
      <c r="A48" s="470">
        <f t="shared" si="1"/>
        <v>33</v>
      </c>
      <c r="B48" s="849" t="s">
        <v>433</v>
      </c>
      <c r="C48" s="1002"/>
      <c r="D48" s="1003"/>
      <c r="E48" s="1002"/>
      <c r="F48" s="992">
        <f t="shared" si="3"/>
        <v>0</v>
      </c>
      <c r="G48" s="1003"/>
      <c r="H48" s="1002"/>
      <c r="I48" s="1003"/>
      <c r="J48" s="1009">
        <v>1</v>
      </c>
      <c r="K48" s="1005">
        <f>J48*0.31</f>
        <v>0.31</v>
      </c>
      <c r="L48" s="1003"/>
      <c r="M48" s="1004"/>
      <c r="N48" s="1003">
        <f>M48*5.76269</f>
        <v>0</v>
      </c>
      <c r="O48" s="1006"/>
      <c r="P48" s="997"/>
      <c r="Q48" s="998"/>
      <c r="R48" s="998"/>
      <c r="S48" s="999"/>
      <c r="T48" s="1000"/>
      <c r="X48" s="828"/>
    </row>
    <row r="49" spans="1:24" s="232" customFormat="1" ht="15" customHeight="1">
      <c r="A49" s="470">
        <f t="shared" si="1"/>
        <v>34</v>
      </c>
      <c r="B49" s="852" t="s">
        <v>168</v>
      </c>
      <c r="C49" s="1002"/>
      <c r="D49" s="1003"/>
      <c r="E49" s="1002"/>
      <c r="F49" s="992">
        <f t="shared" si="3"/>
        <v>0</v>
      </c>
      <c r="G49" s="1003"/>
      <c r="H49" s="1002"/>
      <c r="I49" s="1003"/>
      <c r="J49" s="1009"/>
      <c r="K49" s="1005"/>
      <c r="L49" s="1003"/>
      <c r="M49" s="1004">
        <v>1</v>
      </c>
      <c r="N49" s="1003">
        <f>M49*5.76269</f>
        <v>5.76269</v>
      </c>
      <c r="O49" s="1006" t="s">
        <v>185</v>
      </c>
      <c r="P49" s="997"/>
      <c r="Q49" s="997"/>
      <c r="R49" s="997"/>
      <c r="S49" s="999"/>
      <c r="T49" s="988"/>
      <c r="U49" s="976"/>
      <c r="X49" s="828"/>
    </row>
    <row r="50" spans="1:24" s="232" customFormat="1" ht="15" customHeight="1">
      <c r="A50" s="470">
        <f t="shared" si="1"/>
        <v>35</v>
      </c>
      <c r="B50" s="849" t="s">
        <v>716</v>
      </c>
      <c r="C50" s="1002"/>
      <c r="D50" s="1003"/>
      <c r="E50" s="1002">
        <v>115</v>
      </c>
      <c r="F50" s="992">
        <f t="shared" si="3"/>
        <v>63.25000000000001</v>
      </c>
      <c r="G50" s="1003"/>
      <c r="H50" s="1002"/>
      <c r="I50" s="1003"/>
      <c r="J50" s="1009"/>
      <c r="K50" s="1005"/>
      <c r="L50" s="1003"/>
      <c r="M50" s="1004"/>
      <c r="N50" s="1003"/>
      <c r="O50" s="1006"/>
      <c r="P50" s="997"/>
      <c r="Q50" s="997"/>
      <c r="R50" s="997"/>
      <c r="S50" s="999"/>
      <c r="T50" s="988"/>
      <c r="U50" s="976"/>
      <c r="X50" s="828"/>
    </row>
    <row r="51" spans="1:24" s="232" customFormat="1" ht="15" customHeight="1">
      <c r="A51" s="470">
        <f t="shared" si="1"/>
        <v>36</v>
      </c>
      <c r="B51" s="850" t="s">
        <v>393</v>
      </c>
      <c r="C51" s="1002"/>
      <c r="D51" s="1003"/>
      <c r="E51" s="1002">
        <v>205</v>
      </c>
      <c r="F51" s="992">
        <f t="shared" si="3"/>
        <v>112.75000000000001</v>
      </c>
      <c r="G51" s="1003"/>
      <c r="H51" s="1002"/>
      <c r="I51" s="1003"/>
      <c r="J51" s="1009"/>
      <c r="K51" s="1005"/>
      <c r="L51" s="1003"/>
      <c r="M51" s="1004">
        <v>4</v>
      </c>
      <c r="N51" s="1003">
        <v>23.83338</v>
      </c>
      <c r="O51" s="1006" t="s">
        <v>723</v>
      </c>
      <c r="P51" s="997"/>
      <c r="Q51" s="997"/>
      <c r="R51" s="997"/>
      <c r="S51" s="999"/>
      <c r="T51" s="988"/>
      <c r="U51" s="976"/>
      <c r="X51" s="828"/>
    </row>
    <row r="52" spans="1:24" s="232" customFormat="1" ht="15" customHeight="1">
      <c r="A52" s="470">
        <f t="shared" si="1"/>
        <v>37</v>
      </c>
      <c r="B52" s="849" t="s">
        <v>391</v>
      </c>
      <c r="C52" s="1002"/>
      <c r="D52" s="1003"/>
      <c r="E52" s="1002"/>
      <c r="F52" s="992">
        <f t="shared" si="3"/>
        <v>0</v>
      </c>
      <c r="G52" s="1003"/>
      <c r="H52" s="1002"/>
      <c r="I52" s="1003"/>
      <c r="J52" s="1009"/>
      <c r="K52" s="1005"/>
      <c r="L52" s="1003"/>
      <c r="M52" s="1004">
        <v>1</v>
      </c>
      <c r="N52" s="1003">
        <f>M52*6.154</f>
        <v>6.154</v>
      </c>
      <c r="O52" s="1006" t="s">
        <v>683</v>
      </c>
      <c r="P52" s="997"/>
      <c r="Q52" s="997"/>
      <c r="R52" s="997"/>
      <c r="S52" s="999"/>
      <c r="T52" s="988"/>
      <c r="U52" s="976"/>
      <c r="X52" s="828"/>
    </row>
    <row r="53" spans="1:24" s="232" customFormat="1" ht="15" customHeight="1" thickBot="1">
      <c r="A53" s="470">
        <f t="shared" si="1"/>
        <v>38</v>
      </c>
      <c r="B53" s="849" t="s">
        <v>124</v>
      </c>
      <c r="C53" s="1002"/>
      <c r="D53" s="1003"/>
      <c r="E53" s="1002">
        <v>132</v>
      </c>
      <c r="F53" s="992">
        <f t="shared" si="3"/>
        <v>72.60000000000001</v>
      </c>
      <c r="G53" s="1003"/>
      <c r="H53" s="1002"/>
      <c r="I53" s="1003"/>
      <c r="J53" s="1009"/>
      <c r="K53" s="1005"/>
      <c r="L53" s="1003"/>
      <c r="M53" s="1004"/>
      <c r="N53" s="1003"/>
      <c r="O53" s="1006"/>
      <c r="P53" s="997"/>
      <c r="Q53" s="997"/>
      <c r="R53" s="997"/>
      <c r="S53" s="999"/>
      <c r="T53" s="988"/>
      <c r="U53" s="976"/>
      <c r="V53" s="976"/>
      <c r="X53" s="828"/>
    </row>
    <row r="54" spans="1:24" s="232" customFormat="1" ht="15" customHeight="1" hidden="1" thickBot="1">
      <c r="A54" s="470">
        <f t="shared" si="1"/>
        <v>39</v>
      </c>
      <c r="B54" s="849"/>
      <c r="C54" s="1010"/>
      <c r="D54" s="1011">
        <f>C54*10.714286</f>
        <v>0</v>
      </c>
      <c r="E54" s="1002"/>
      <c r="F54" s="992">
        <f t="shared" si="3"/>
        <v>0</v>
      </c>
      <c r="G54" s="1003"/>
      <c r="H54" s="1002"/>
      <c r="I54" s="1003"/>
      <c r="J54" s="1009"/>
      <c r="K54" s="1005"/>
      <c r="L54" s="1003"/>
      <c r="M54" s="1004"/>
      <c r="N54" s="1003"/>
      <c r="O54" s="1006"/>
      <c r="P54" s="997"/>
      <c r="Q54" s="997"/>
      <c r="R54" s="998"/>
      <c r="S54" s="999"/>
      <c r="T54" s="1000"/>
      <c r="V54" s="976"/>
      <c r="X54" s="828"/>
    </row>
    <row r="55" spans="1:20" ht="15.75" thickBot="1">
      <c r="A55" s="1016"/>
      <c r="B55" s="1017" t="s">
        <v>203</v>
      </c>
      <c r="C55" s="1018">
        <f>SUM(C16:C54)</f>
        <v>181.86</v>
      </c>
      <c r="D55" s="1019">
        <f>SUM(D16:D54)</f>
        <v>1948.5000519600003</v>
      </c>
      <c r="E55" s="1020">
        <f>SUM(E16:E54)</f>
        <v>1252</v>
      </c>
      <c r="F55" s="1021">
        <f>SUM(F16:F54)</f>
        <v>688.6</v>
      </c>
      <c r="G55" s="1022"/>
      <c r="H55" s="1023">
        <f>SUM(H16:H54)</f>
        <v>0</v>
      </c>
      <c r="I55" s="1022"/>
      <c r="J55" s="1024">
        <f>SUM(J16:J54)</f>
        <v>22</v>
      </c>
      <c r="K55" s="1025">
        <f>SUM(K16:K54)</f>
        <v>6.8199999999999985</v>
      </c>
      <c r="L55" s="1022"/>
      <c r="M55" s="1024">
        <f>SUM(M16:M54)</f>
        <v>50</v>
      </c>
      <c r="N55" s="1022">
        <f>SUM(N16:N54)</f>
        <v>339.94310999999993</v>
      </c>
      <c r="O55" s="1026"/>
      <c r="P55" s="1027">
        <f>SUM(P16:P54)</f>
        <v>0</v>
      </c>
      <c r="Q55" s="1027"/>
      <c r="R55" s="1027"/>
      <c r="S55" s="1028"/>
      <c r="T55" s="1029"/>
    </row>
    <row r="56" spans="1:20" ht="15.75" customHeight="1" thickBot="1">
      <c r="A56" s="1030"/>
      <c r="B56" s="1031" t="s">
        <v>204</v>
      </c>
      <c r="C56" s="1907">
        <f>D55+F55+K55+N55</f>
        <v>2983.86316196</v>
      </c>
      <c r="D56" s="1907"/>
      <c r="E56" s="1032" t="s">
        <v>184</v>
      </c>
      <c r="F56" s="1033"/>
      <c r="G56" s="1033"/>
      <c r="H56" s="1033"/>
      <c r="I56" s="1033"/>
      <c r="J56" s="1033"/>
      <c r="K56" s="1033"/>
      <c r="L56" s="1033"/>
      <c r="M56" s="1033"/>
      <c r="N56" s="1034"/>
      <c r="O56" s="1035"/>
      <c r="P56" s="1035"/>
      <c r="Q56" s="1035"/>
      <c r="R56" s="1035"/>
      <c r="S56" s="1035"/>
      <c r="T56" s="1036"/>
    </row>
    <row r="57" spans="1:20" ht="15">
      <c r="A57" s="1037"/>
      <c r="B57" s="1038"/>
      <c r="C57" s="973"/>
      <c r="D57" s="973"/>
      <c r="E57" s="973"/>
      <c r="F57" s="973"/>
      <c r="G57" s="973"/>
      <c r="H57" s="973"/>
      <c r="I57" s="973"/>
      <c r="J57" s="1039"/>
      <c r="K57" s="973"/>
      <c r="L57" s="973"/>
      <c r="M57" s="973"/>
      <c r="N57" s="973"/>
      <c r="O57" s="971"/>
      <c r="P57" s="1040"/>
      <c r="Q57" s="972"/>
      <c r="R57" s="972"/>
      <c r="S57" s="972"/>
      <c r="T57" s="972"/>
    </row>
    <row r="58" spans="1:20" ht="15">
      <c r="A58" s="1039"/>
      <c r="B58" s="973" t="s">
        <v>148</v>
      </c>
      <c r="C58" s="973"/>
      <c r="D58" s="973"/>
      <c r="E58" s="973"/>
      <c r="F58" s="973"/>
      <c r="G58" s="973"/>
      <c r="H58" s="973"/>
      <c r="I58" s="973"/>
      <c r="J58" s="973" t="s">
        <v>205</v>
      </c>
      <c r="K58" s="973"/>
      <c r="L58" s="973"/>
      <c r="M58" s="973"/>
      <c r="N58" s="973"/>
      <c r="O58" s="971"/>
      <c r="P58" s="972"/>
      <c r="Q58" s="972"/>
      <c r="R58" s="972"/>
      <c r="S58" s="972"/>
      <c r="T58" s="972"/>
    </row>
    <row r="59" spans="1:20" ht="15.75">
      <c r="A59" s="971"/>
      <c r="B59" s="1041"/>
      <c r="C59" s="972"/>
      <c r="D59" s="972"/>
      <c r="E59" s="972"/>
      <c r="F59" s="972"/>
      <c r="G59" s="972"/>
      <c r="H59" s="972"/>
      <c r="I59" s="972"/>
      <c r="J59" s="972"/>
      <c r="K59" s="972"/>
      <c r="L59" s="972"/>
      <c r="M59" s="972"/>
      <c r="N59" s="972"/>
      <c r="O59" s="971"/>
      <c r="P59" s="972"/>
      <c r="Q59" s="972"/>
      <c r="R59" s="972"/>
      <c r="S59" s="972"/>
      <c r="T59" s="972"/>
    </row>
    <row r="60" ht="12.75">
      <c r="B60" s="1043"/>
    </row>
  </sheetData>
  <autoFilter ref="A15:S56"/>
  <mergeCells count="39">
    <mergeCell ref="A10:R10"/>
    <mergeCell ref="P1:Q1"/>
    <mergeCell ref="K2:N2"/>
    <mergeCell ref="A7:R7"/>
    <mergeCell ref="A8:R8"/>
    <mergeCell ref="A9:R9"/>
    <mergeCell ref="O13:O14"/>
    <mergeCell ref="A12:A14"/>
    <mergeCell ref="B12:B14"/>
    <mergeCell ref="C12:T12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P13:P14"/>
    <mergeCell ref="Q13:Q14"/>
    <mergeCell ref="R13:R14"/>
    <mergeCell ref="S13:S14"/>
    <mergeCell ref="T13:T14"/>
    <mergeCell ref="AC15:AC16"/>
    <mergeCell ref="AD15:AD16"/>
    <mergeCell ref="AE15:AE16"/>
    <mergeCell ref="AF15:AF16"/>
    <mergeCell ref="C56:D56"/>
    <mergeCell ref="W15:W16"/>
    <mergeCell ref="X15:X16"/>
    <mergeCell ref="Y15:Y16"/>
    <mergeCell ref="Z15:Z16"/>
    <mergeCell ref="AA15:AA16"/>
    <mergeCell ref="AB15:AB16"/>
    <mergeCell ref="V15:V16"/>
  </mergeCells>
  <printOptions horizontalCentered="1"/>
  <pageMargins left="0.2362204724409449" right="0.2362204724409449" top="0.15748031496062992" bottom="0.15748031496062992" header="0" footer="0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J45"/>
  <sheetViews>
    <sheetView view="pageLayout" workbookViewId="0" topLeftCell="A1">
      <selection activeCell="A7" sqref="A7:F7"/>
    </sheetView>
  </sheetViews>
  <sheetFormatPr defaultColWidth="9.00390625" defaultRowHeight="12.75"/>
  <cols>
    <col min="1" max="1" width="4.125" style="107" customWidth="1"/>
    <col min="2" max="2" width="23.875" style="0" customWidth="1"/>
    <col min="3" max="3" width="29.875" style="0" customWidth="1"/>
    <col min="4" max="4" width="10.375" style="0" customWidth="1"/>
    <col min="5" max="5" width="12.125" style="0" customWidth="1"/>
    <col min="6" max="6" width="10.75390625" style="262" customWidth="1"/>
    <col min="7" max="7" width="37.25390625" style="0" customWidth="1"/>
  </cols>
  <sheetData>
    <row r="1" spans="1:10" ht="15.6" customHeight="1">
      <c r="A1" s="245"/>
      <c r="B1" s="215"/>
      <c r="C1" s="215"/>
      <c r="D1" s="1950" t="s">
        <v>208</v>
      </c>
      <c r="E1" s="1950"/>
      <c r="F1" s="1950"/>
      <c r="G1" s="108"/>
      <c r="H1" s="108"/>
      <c r="I1" s="108"/>
      <c r="J1" s="108"/>
    </row>
    <row r="2" spans="1:10" ht="15.75">
      <c r="A2" s="245"/>
      <c r="B2" s="215"/>
      <c r="C2" s="215"/>
      <c r="D2" s="1950"/>
      <c r="E2" s="1950"/>
      <c r="F2" s="1950"/>
      <c r="G2" s="108"/>
      <c r="H2" s="108"/>
      <c r="I2" s="108"/>
      <c r="J2" s="108"/>
    </row>
    <row r="3" spans="1:10" ht="15.75">
      <c r="A3" s="245"/>
      <c r="B3" s="215"/>
      <c r="C3" s="215"/>
      <c r="D3" s="1950"/>
      <c r="E3" s="1950"/>
      <c r="F3" s="1950"/>
      <c r="G3" s="108"/>
      <c r="H3" s="108"/>
      <c r="I3" s="108"/>
      <c r="J3" s="108"/>
    </row>
    <row r="4" spans="1:10" ht="15.75">
      <c r="A4" s="245"/>
      <c r="B4" s="215"/>
      <c r="C4" s="215"/>
      <c r="D4" s="1950"/>
      <c r="E4" s="1950"/>
      <c r="F4" s="1950"/>
      <c r="G4" s="108"/>
      <c r="H4" s="108"/>
      <c r="I4" s="108"/>
      <c r="J4" s="108"/>
    </row>
    <row r="5" spans="1:10" ht="15.75">
      <c r="A5" s="245"/>
      <c r="B5" s="215"/>
      <c r="C5" s="215"/>
      <c r="D5" s="1950"/>
      <c r="E5" s="1950"/>
      <c r="F5" s="1950"/>
      <c r="G5" s="108"/>
      <c r="H5" s="108"/>
      <c r="I5" s="108"/>
      <c r="J5" s="108"/>
    </row>
    <row r="6" spans="1:7" ht="12.75" customHeight="1" hidden="1">
      <c r="A6" s="778"/>
      <c r="B6" s="778"/>
      <c r="C6" s="778"/>
      <c r="D6" s="778"/>
      <c r="E6" s="778"/>
      <c r="F6" s="778"/>
      <c r="G6" s="778"/>
    </row>
    <row r="7" spans="1:7" ht="33.6" customHeight="1" thickBot="1">
      <c r="A7" s="1958" t="s">
        <v>699</v>
      </c>
      <c r="B7" s="1958"/>
      <c r="C7" s="1958"/>
      <c r="D7" s="1958"/>
      <c r="E7" s="1958"/>
      <c r="F7" s="1958"/>
      <c r="G7" s="779"/>
    </row>
    <row r="8" spans="1:7" ht="12.75" thickBot="1">
      <c r="A8" s="1951" t="s">
        <v>44</v>
      </c>
      <c r="B8" s="1953" t="s">
        <v>6</v>
      </c>
      <c r="C8" s="1954" t="s">
        <v>209</v>
      </c>
      <c r="D8" s="246" t="s">
        <v>125</v>
      </c>
      <c r="E8" s="1956" t="s">
        <v>210</v>
      </c>
      <c r="F8" s="1956" t="s">
        <v>213</v>
      </c>
      <c r="G8" s="1948" t="s">
        <v>132</v>
      </c>
    </row>
    <row r="9" spans="1:7" ht="12.75" thickBot="1">
      <c r="A9" s="1952"/>
      <c r="B9" s="1949"/>
      <c r="C9" s="1955"/>
      <c r="D9" s="719" t="s">
        <v>211</v>
      </c>
      <c r="E9" s="1957"/>
      <c r="F9" s="1957"/>
      <c r="G9" s="1949"/>
    </row>
    <row r="10" spans="1:10" ht="12.75">
      <c r="A10" s="247">
        <v>1</v>
      </c>
      <c r="B10" s="248" t="s">
        <v>80</v>
      </c>
      <c r="C10" s="853" t="s">
        <v>621</v>
      </c>
      <c r="D10" s="249">
        <v>180</v>
      </c>
      <c r="E10" s="251">
        <f aca="true" t="shared" si="0" ref="E10:E42">D10/1000</f>
        <v>0.18</v>
      </c>
      <c r="F10" s="780">
        <f>E10*536</f>
        <v>96.47999999999999</v>
      </c>
      <c r="G10" s="250"/>
      <c r="H10" s="20"/>
      <c r="I10" s="20"/>
      <c r="J10" s="20"/>
    </row>
    <row r="11" spans="1:10" ht="12.75">
      <c r="A11" s="247">
        <f>A10+1</f>
        <v>2</v>
      </c>
      <c r="B11" s="248" t="s">
        <v>81</v>
      </c>
      <c r="C11" s="250" t="s">
        <v>589</v>
      </c>
      <c r="D11" s="249">
        <v>72</v>
      </c>
      <c r="E11" s="251">
        <f t="shared" si="0"/>
        <v>0.072</v>
      </c>
      <c r="F11" s="780">
        <f aca="true" t="shared" si="1" ref="F11:F42">E11*536</f>
        <v>38.592</v>
      </c>
      <c r="G11" s="250"/>
      <c r="H11" s="20"/>
      <c r="I11" s="20"/>
      <c r="J11" s="20"/>
    </row>
    <row r="12" spans="1:10" ht="28.5" customHeight="1">
      <c r="A12" s="247">
        <f aca="true" t="shared" si="2" ref="A12:A41">A11+1</f>
        <v>3</v>
      </c>
      <c r="B12" s="248" t="s">
        <v>212</v>
      </c>
      <c r="C12" s="250" t="s">
        <v>665</v>
      </c>
      <c r="D12" s="249">
        <f>454*2</f>
        <v>908</v>
      </c>
      <c r="E12" s="251">
        <f t="shared" si="0"/>
        <v>0.908</v>
      </c>
      <c r="F12" s="780">
        <f t="shared" si="1"/>
        <v>486.688</v>
      </c>
      <c r="G12" s="250"/>
      <c r="H12" s="20"/>
      <c r="I12" s="20"/>
      <c r="J12" s="20"/>
    </row>
    <row r="13" spans="1:10" ht="12.75">
      <c r="A13" s="247">
        <v>4</v>
      </c>
      <c r="B13" s="248" t="s">
        <v>624</v>
      </c>
      <c r="C13" s="853">
        <v>29.55</v>
      </c>
      <c r="D13" s="249">
        <v>60</v>
      </c>
      <c r="E13" s="251">
        <f t="shared" si="0"/>
        <v>0.06</v>
      </c>
      <c r="F13" s="780">
        <f t="shared" si="1"/>
        <v>32.16</v>
      </c>
      <c r="G13" s="250"/>
      <c r="H13" s="20"/>
      <c r="I13" s="20"/>
      <c r="J13" s="20"/>
    </row>
    <row r="14" spans="1:10" ht="12.75">
      <c r="A14" s="247">
        <v>5</v>
      </c>
      <c r="B14" s="248" t="s">
        <v>106</v>
      </c>
      <c r="C14" s="250" t="s">
        <v>619</v>
      </c>
      <c r="D14" s="249">
        <f>165*2</f>
        <v>330</v>
      </c>
      <c r="E14" s="251">
        <f t="shared" si="0"/>
        <v>0.33</v>
      </c>
      <c r="F14" s="780">
        <f t="shared" si="1"/>
        <v>176.88</v>
      </c>
      <c r="G14" s="250"/>
      <c r="H14" s="20"/>
      <c r="I14" s="20"/>
      <c r="J14" s="20"/>
    </row>
    <row r="15" spans="1:7" ht="12" customHeight="1">
      <c r="A15" s="247">
        <v>6</v>
      </c>
      <c r="B15" s="248" t="s">
        <v>265</v>
      </c>
      <c r="C15" s="250" t="s">
        <v>664</v>
      </c>
      <c r="D15" s="249">
        <f>30+30</f>
        <v>60</v>
      </c>
      <c r="E15" s="251">
        <f t="shared" si="0"/>
        <v>0.06</v>
      </c>
      <c r="F15" s="780">
        <f t="shared" si="1"/>
        <v>32.16</v>
      </c>
      <c r="G15" s="250" t="s">
        <v>378</v>
      </c>
    </row>
    <row r="16" spans="1:10" ht="12.75">
      <c r="A16" s="247">
        <v>7</v>
      </c>
      <c r="B16" s="248" t="s">
        <v>139</v>
      </c>
      <c r="C16" s="853" t="s">
        <v>553</v>
      </c>
      <c r="D16" s="249">
        <v>65</v>
      </c>
      <c r="E16" s="251">
        <f t="shared" si="0"/>
        <v>0.065</v>
      </c>
      <c r="F16" s="780">
        <f t="shared" si="1"/>
        <v>34.84</v>
      </c>
      <c r="G16" s="250" t="s">
        <v>383</v>
      </c>
      <c r="H16" s="20"/>
      <c r="I16" s="20"/>
      <c r="J16" s="20"/>
    </row>
    <row r="17" spans="1:10" ht="16.15" customHeight="1">
      <c r="A17" s="247">
        <v>8</v>
      </c>
      <c r="B17" s="248" t="s">
        <v>162</v>
      </c>
      <c r="C17" s="853" t="s">
        <v>667</v>
      </c>
      <c r="D17" s="249">
        <f>120*2</f>
        <v>240</v>
      </c>
      <c r="E17" s="251">
        <f t="shared" si="0"/>
        <v>0.24</v>
      </c>
      <c r="F17" s="780">
        <f t="shared" si="1"/>
        <v>128.64</v>
      </c>
      <c r="G17" s="250"/>
      <c r="H17" s="20"/>
      <c r="I17" s="20"/>
      <c r="J17" s="20"/>
    </row>
    <row r="18" spans="1:7" ht="15.6" customHeight="1">
      <c r="A18" s="247">
        <v>9</v>
      </c>
      <c r="B18" s="248" t="s">
        <v>263</v>
      </c>
      <c r="C18" s="250" t="s">
        <v>374</v>
      </c>
      <c r="D18" s="249">
        <v>30</v>
      </c>
      <c r="E18" s="251">
        <f t="shared" si="0"/>
        <v>0.03</v>
      </c>
      <c r="F18" s="780">
        <f t="shared" si="1"/>
        <v>16.08</v>
      </c>
      <c r="G18" s="250" t="s">
        <v>377</v>
      </c>
    </row>
    <row r="19" spans="1:7" ht="16.15" customHeight="1">
      <c r="A19" s="247">
        <v>10</v>
      </c>
      <c r="B19" s="248" t="s">
        <v>262</v>
      </c>
      <c r="C19" s="250" t="s">
        <v>554</v>
      </c>
      <c r="D19" s="249">
        <v>45</v>
      </c>
      <c r="E19" s="251">
        <f t="shared" si="0"/>
        <v>0.045</v>
      </c>
      <c r="F19" s="780">
        <f t="shared" si="1"/>
        <v>24.119999999999997</v>
      </c>
      <c r="G19" s="250" t="s">
        <v>555</v>
      </c>
    </row>
    <row r="20" spans="1:7" ht="16.9" customHeight="1">
      <c r="A20" s="247">
        <v>11</v>
      </c>
      <c r="B20" s="248" t="s">
        <v>260</v>
      </c>
      <c r="C20" s="250" t="s">
        <v>625</v>
      </c>
      <c r="D20" s="249">
        <v>40</v>
      </c>
      <c r="E20" s="251">
        <f t="shared" si="0"/>
        <v>0.04</v>
      </c>
      <c r="F20" s="780">
        <f t="shared" si="1"/>
        <v>21.44</v>
      </c>
      <c r="G20" s="250"/>
    </row>
    <row r="21" spans="1:7" ht="15" customHeight="1">
      <c r="A21" s="247">
        <v>12</v>
      </c>
      <c r="B21" s="248" t="s">
        <v>259</v>
      </c>
      <c r="C21" s="250" t="s">
        <v>620</v>
      </c>
      <c r="D21" s="249">
        <v>36</v>
      </c>
      <c r="E21" s="251">
        <f t="shared" si="0"/>
        <v>0.036</v>
      </c>
      <c r="F21" s="780">
        <f t="shared" si="1"/>
        <v>19.296</v>
      </c>
      <c r="G21" s="250"/>
    </row>
    <row r="22" spans="1:7" ht="31.5" customHeight="1">
      <c r="A22" s="247">
        <v>13</v>
      </c>
      <c r="B22" s="248" t="s">
        <v>258</v>
      </c>
      <c r="C22" s="853" t="s">
        <v>666</v>
      </c>
      <c r="D22" s="249">
        <v>458</v>
      </c>
      <c r="E22" s="251">
        <f t="shared" si="0"/>
        <v>0.458</v>
      </c>
      <c r="F22" s="780">
        <f t="shared" si="1"/>
        <v>245.488</v>
      </c>
      <c r="G22" s="250" t="s">
        <v>585</v>
      </c>
    </row>
    <row r="23" spans="1:7" ht="17.25" customHeight="1">
      <c r="A23" s="247"/>
      <c r="B23" s="248" t="s">
        <v>438</v>
      </c>
      <c r="C23" s="853" t="s">
        <v>696</v>
      </c>
      <c r="D23" s="249">
        <v>30</v>
      </c>
      <c r="E23" s="251">
        <f t="shared" si="0"/>
        <v>0.03</v>
      </c>
      <c r="F23" s="780">
        <f t="shared" si="1"/>
        <v>16.08</v>
      </c>
      <c r="G23" s="250" t="s">
        <v>697</v>
      </c>
    </row>
    <row r="24" spans="1:10" ht="14.45" customHeight="1">
      <c r="A24" s="247">
        <v>14</v>
      </c>
      <c r="B24" s="248" t="s">
        <v>287</v>
      </c>
      <c r="C24" s="250" t="s">
        <v>75</v>
      </c>
      <c r="D24" s="249">
        <v>24</v>
      </c>
      <c r="E24" s="251">
        <f t="shared" si="0"/>
        <v>0.024</v>
      </c>
      <c r="F24" s="780">
        <f t="shared" si="1"/>
        <v>12.864</v>
      </c>
      <c r="G24" s="250"/>
      <c r="H24" s="20"/>
      <c r="I24" s="20"/>
      <c r="J24" s="20"/>
    </row>
    <row r="25" spans="1:10" ht="18" customHeight="1">
      <c r="A25" s="247">
        <v>15</v>
      </c>
      <c r="B25" s="248" t="s">
        <v>31</v>
      </c>
      <c r="C25" s="250" t="s">
        <v>628</v>
      </c>
      <c r="D25" s="249">
        <v>108</v>
      </c>
      <c r="E25" s="251">
        <f t="shared" si="0"/>
        <v>0.108</v>
      </c>
      <c r="F25" s="780">
        <f t="shared" si="1"/>
        <v>57.888</v>
      </c>
      <c r="G25" s="250"/>
      <c r="H25" s="20"/>
      <c r="I25" s="20"/>
      <c r="J25" s="20"/>
    </row>
    <row r="26" spans="1:10" ht="18.6" customHeight="1">
      <c r="A26" s="247">
        <v>16</v>
      </c>
      <c r="B26" s="248" t="s">
        <v>441</v>
      </c>
      <c r="C26" s="250" t="s">
        <v>626</v>
      </c>
      <c r="D26" s="249">
        <v>60</v>
      </c>
      <c r="E26" s="251">
        <f t="shared" si="0"/>
        <v>0.06</v>
      </c>
      <c r="F26" s="780">
        <f t="shared" si="1"/>
        <v>32.16</v>
      </c>
      <c r="G26" s="250"/>
      <c r="H26" s="20"/>
      <c r="I26" s="20"/>
      <c r="J26" s="20"/>
    </row>
    <row r="27" spans="1:7" ht="12.75">
      <c r="A27" s="247">
        <v>17</v>
      </c>
      <c r="B27" s="252" t="s">
        <v>163</v>
      </c>
      <c r="C27" s="86" t="s">
        <v>630</v>
      </c>
      <c r="D27" s="253">
        <v>140</v>
      </c>
      <c r="E27" s="251">
        <f t="shared" si="0"/>
        <v>0.14</v>
      </c>
      <c r="F27" s="780">
        <f t="shared" si="1"/>
        <v>75.04</v>
      </c>
      <c r="G27" s="254" t="s">
        <v>376</v>
      </c>
    </row>
    <row r="28" spans="1:7" ht="18.6" customHeight="1">
      <c r="A28" s="247">
        <v>18</v>
      </c>
      <c r="B28" s="252" t="s">
        <v>443</v>
      </c>
      <c r="C28" s="853" t="s">
        <v>627</v>
      </c>
      <c r="D28" s="249">
        <v>62</v>
      </c>
      <c r="E28" s="251">
        <f t="shared" si="0"/>
        <v>0.062</v>
      </c>
      <c r="F28" s="780">
        <f t="shared" si="1"/>
        <v>33.232</v>
      </c>
      <c r="G28" s="250"/>
    </row>
    <row r="29" spans="1:7" ht="12.75">
      <c r="A29" s="247">
        <v>19</v>
      </c>
      <c r="B29" s="252" t="s">
        <v>164</v>
      </c>
      <c r="C29" s="86" t="s">
        <v>364</v>
      </c>
      <c r="D29" s="253">
        <v>30</v>
      </c>
      <c r="E29" s="251">
        <f t="shared" si="0"/>
        <v>0.03</v>
      </c>
      <c r="F29" s="780">
        <f t="shared" si="1"/>
        <v>16.08</v>
      </c>
      <c r="G29" s="254" t="s">
        <v>365</v>
      </c>
    </row>
    <row r="30" spans="1:7" ht="12.75">
      <c r="A30" s="247">
        <v>20</v>
      </c>
      <c r="B30" s="252" t="s">
        <v>631</v>
      </c>
      <c r="C30" s="854" t="s">
        <v>635</v>
      </c>
      <c r="D30" s="253">
        <v>48</v>
      </c>
      <c r="E30" s="251">
        <f t="shared" si="0"/>
        <v>0.048</v>
      </c>
      <c r="F30" s="780">
        <f t="shared" si="1"/>
        <v>25.728</v>
      </c>
      <c r="G30" s="254"/>
    </row>
    <row r="31" spans="1:10" ht="12.75">
      <c r="A31" s="247">
        <v>21</v>
      </c>
      <c r="B31" s="248" t="s">
        <v>373</v>
      </c>
      <c r="C31" s="853" t="s">
        <v>374</v>
      </c>
      <c r="D31" s="249">
        <v>30</v>
      </c>
      <c r="E31" s="251">
        <f t="shared" si="0"/>
        <v>0.03</v>
      </c>
      <c r="F31" s="780">
        <f t="shared" si="1"/>
        <v>16.08</v>
      </c>
      <c r="G31" s="250" t="s">
        <v>375</v>
      </c>
      <c r="H31" s="20"/>
      <c r="I31" s="20"/>
      <c r="J31" s="20"/>
    </row>
    <row r="32" spans="1:10" ht="12.75">
      <c r="A32" s="247">
        <v>22</v>
      </c>
      <c r="B32" s="248" t="s">
        <v>269</v>
      </c>
      <c r="C32" s="853" t="s">
        <v>632</v>
      </c>
      <c r="D32" s="249">
        <v>240</v>
      </c>
      <c r="E32" s="251">
        <f t="shared" si="0"/>
        <v>0.24</v>
      </c>
      <c r="F32" s="780">
        <f t="shared" si="1"/>
        <v>128.64</v>
      </c>
      <c r="G32" s="250"/>
      <c r="H32" s="20"/>
      <c r="I32" s="20"/>
      <c r="J32" s="20"/>
    </row>
    <row r="33" spans="1:10" ht="12.75">
      <c r="A33" s="247">
        <v>23</v>
      </c>
      <c r="B33" s="248" t="s">
        <v>285</v>
      </c>
      <c r="C33" s="855" t="s">
        <v>636</v>
      </c>
      <c r="D33" s="249">
        <v>24</v>
      </c>
      <c r="E33" s="251">
        <f t="shared" si="0"/>
        <v>0.024</v>
      </c>
      <c r="F33" s="780">
        <f t="shared" si="1"/>
        <v>12.864</v>
      </c>
      <c r="G33" s="250"/>
      <c r="H33" s="20"/>
      <c r="I33" s="20"/>
      <c r="J33" s="20"/>
    </row>
    <row r="34" spans="1:10" ht="12.75">
      <c r="A34" s="247">
        <v>24</v>
      </c>
      <c r="B34" s="248" t="s">
        <v>109</v>
      </c>
      <c r="C34" s="250" t="s">
        <v>437</v>
      </c>
      <c r="D34" s="249">
        <v>15</v>
      </c>
      <c r="E34" s="251">
        <f t="shared" si="0"/>
        <v>0.015</v>
      </c>
      <c r="F34" s="780">
        <f t="shared" si="1"/>
        <v>8.04</v>
      </c>
      <c r="G34" s="250"/>
      <c r="H34" s="20"/>
      <c r="I34" s="20"/>
      <c r="J34" s="20"/>
    </row>
    <row r="35" spans="1:10" ht="12.75">
      <c r="A35" s="247">
        <v>25</v>
      </c>
      <c r="B35" s="248" t="s">
        <v>34</v>
      </c>
      <c r="C35" s="853" t="s">
        <v>633</v>
      </c>
      <c r="D35" s="781">
        <v>300</v>
      </c>
      <c r="E35" s="251">
        <f t="shared" si="0"/>
        <v>0.3</v>
      </c>
      <c r="F35" s="780">
        <f t="shared" si="1"/>
        <v>160.79999999999998</v>
      </c>
      <c r="G35" s="250" t="s">
        <v>419</v>
      </c>
      <c r="H35" s="20"/>
      <c r="I35" s="20"/>
      <c r="J35" s="20"/>
    </row>
    <row r="36" spans="1:10" ht="12.75">
      <c r="A36" s="247">
        <f aca="true" t="shared" si="3" ref="A36:A40">A35+1</f>
        <v>26</v>
      </c>
      <c r="B36" s="248" t="s">
        <v>270</v>
      </c>
      <c r="C36" s="250" t="s">
        <v>634</v>
      </c>
      <c r="D36" s="249">
        <v>180</v>
      </c>
      <c r="E36" s="251">
        <f t="shared" si="0"/>
        <v>0.18</v>
      </c>
      <c r="F36" s="780">
        <f t="shared" si="1"/>
        <v>96.47999999999999</v>
      </c>
      <c r="G36" s="250" t="s">
        <v>382</v>
      </c>
      <c r="H36" s="20"/>
      <c r="I36" s="20"/>
      <c r="J36" s="20"/>
    </row>
    <row r="37" spans="1:10" ht="12.75">
      <c r="A37" s="247">
        <f t="shared" si="2"/>
        <v>27</v>
      </c>
      <c r="B37" s="248" t="s">
        <v>271</v>
      </c>
      <c r="C37" s="250" t="s">
        <v>637</v>
      </c>
      <c r="D37" s="249">
        <v>48</v>
      </c>
      <c r="E37" s="251">
        <f t="shared" si="0"/>
        <v>0.048</v>
      </c>
      <c r="F37" s="780">
        <f t="shared" si="1"/>
        <v>25.728</v>
      </c>
      <c r="G37" s="250"/>
      <c r="H37" s="20"/>
      <c r="I37" s="20"/>
      <c r="J37" s="20"/>
    </row>
    <row r="38" spans="1:10" ht="12.75">
      <c r="A38" s="247">
        <f t="shared" si="3"/>
        <v>28</v>
      </c>
      <c r="B38" s="248" t="s">
        <v>175</v>
      </c>
      <c r="C38" s="250" t="s">
        <v>638</v>
      </c>
      <c r="D38" s="249">
        <v>168</v>
      </c>
      <c r="E38" s="251">
        <f t="shared" si="0"/>
        <v>0.168</v>
      </c>
      <c r="F38" s="780">
        <f t="shared" si="1"/>
        <v>90.048</v>
      </c>
      <c r="G38" s="250"/>
      <c r="H38" s="20"/>
      <c r="I38" s="20"/>
      <c r="J38" s="20"/>
    </row>
    <row r="39" spans="1:10" ht="12.75">
      <c r="A39" s="247">
        <f t="shared" si="2"/>
        <v>29</v>
      </c>
      <c r="B39" s="248" t="s">
        <v>639</v>
      </c>
      <c r="C39" s="250" t="s">
        <v>640</v>
      </c>
      <c r="D39" s="249">
        <v>26</v>
      </c>
      <c r="E39" s="251">
        <f t="shared" si="0"/>
        <v>0.026</v>
      </c>
      <c r="F39" s="780">
        <f t="shared" si="1"/>
        <v>13.936</v>
      </c>
      <c r="G39" s="250"/>
      <c r="H39" s="20"/>
      <c r="I39" s="20"/>
      <c r="J39" s="20"/>
    </row>
    <row r="40" spans="1:10" ht="12.75">
      <c r="A40" s="247">
        <f t="shared" si="3"/>
        <v>30</v>
      </c>
      <c r="B40" s="248" t="s">
        <v>471</v>
      </c>
      <c r="C40" s="250" t="s">
        <v>437</v>
      </c>
      <c r="D40" s="249">
        <v>24</v>
      </c>
      <c r="E40" s="251">
        <f t="shared" si="0"/>
        <v>0.024</v>
      </c>
      <c r="F40" s="780">
        <f t="shared" si="1"/>
        <v>12.864</v>
      </c>
      <c r="G40" s="250" t="s">
        <v>584</v>
      </c>
      <c r="H40" s="20"/>
      <c r="I40" s="20"/>
      <c r="J40" s="20"/>
    </row>
    <row r="41" spans="1:7" ht="15.75" thickBot="1">
      <c r="A41" s="247">
        <f t="shared" si="2"/>
        <v>31</v>
      </c>
      <c r="B41" s="701" t="s">
        <v>661</v>
      </c>
      <c r="C41" s="856" t="s">
        <v>629</v>
      </c>
      <c r="D41" s="249">
        <v>24</v>
      </c>
      <c r="E41" s="782">
        <f t="shared" si="0"/>
        <v>0.024</v>
      </c>
      <c r="F41" s="780">
        <f t="shared" si="1"/>
        <v>12.864</v>
      </c>
      <c r="G41" s="250"/>
    </row>
    <row r="42" spans="1:10" ht="15.75" thickBot="1">
      <c r="A42" s="783"/>
      <c r="B42" s="784" t="s">
        <v>8</v>
      </c>
      <c r="C42" s="785"/>
      <c r="D42" s="786">
        <f>SUM(D10:D41)</f>
        <v>4105</v>
      </c>
      <c r="E42" s="787">
        <f t="shared" si="0"/>
        <v>4.105</v>
      </c>
      <c r="F42" s="788">
        <f t="shared" si="1"/>
        <v>2200.28</v>
      </c>
      <c r="G42" s="256"/>
      <c r="H42" s="20"/>
      <c r="I42" s="20"/>
      <c r="J42" s="20"/>
    </row>
    <row r="43" spans="1:10" ht="12.75">
      <c r="A43" s="257"/>
      <c r="B43" s="257"/>
      <c r="C43" s="257"/>
      <c r="D43" s="257"/>
      <c r="E43" s="257"/>
      <c r="F43" s="257"/>
      <c r="G43" s="258"/>
      <c r="H43" s="20"/>
      <c r="I43" s="20"/>
      <c r="J43" s="20"/>
    </row>
    <row r="44" spans="1:10" ht="12.75">
      <c r="A44" s="257"/>
      <c r="B44" s="789" t="s">
        <v>95</v>
      </c>
      <c r="C44" s="789"/>
      <c r="D44" s="790" t="s">
        <v>96</v>
      </c>
      <c r="E44" s="791"/>
      <c r="F44" s="257"/>
      <c r="G44" s="258"/>
      <c r="H44" s="20"/>
      <c r="I44" s="20"/>
      <c r="J44" s="20"/>
    </row>
    <row r="45" spans="1:7" ht="14.25">
      <c r="A45" s="259"/>
      <c r="B45" s="258"/>
      <c r="C45" s="260"/>
      <c r="D45" s="260"/>
      <c r="E45" s="258"/>
      <c r="F45" s="258"/>
      <c r="G45" s="261"/>
    </row>
  </sheetData>
  <mergeCells count="8">
    <mergeCell ref="G8:G9"/>
    <mergeCell ref="D1:F5"/>
    <mergeCell ref="A8:A9"/>
    <mergeCell ref="B8:B9"/>
    <mergeCell ref="C8:C9"/>
    <mergeCell ref="E8:E9"/>
    <mergeCell ref="F8:F9"/>
    <mergeCell ref="A7:F7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M129"/>
  <sheetViews>
    <sheetView workbookViewId="0" topLeftCell="A1">
      <pane xSplit="2" ySplit="10" topLeftCell="C118" activePane="bottomRight" state="frozen"/>
      <selection pane="topRight" activeCell="C1" sqref="C1"/>
      <selection pane="bottomLeft" activeCell="A11" sqref="A11"/>
      <selection pane="bottomRight" activeCell="O101" sqref="O101"/>
    </sheetView>
  </sheetViews>
  <sheetFormatPr defaultColWidth="9.00390625" defaultRowHeight="12.75"/>
  <cols>
    <col min="1" max="1" width="5.25390625" style="0" customWidth="1"/>
    <col min="2" max="2" width="23.75390625" style="0" customWidth="1"/>
    <col min="3" max="3" width="10.875" style="0" customWidth="1"/>
    <col min="4" max="4" width="11.75390625" style="0" hidden="1" customWidth="1"/>
    <col min="5" max="5" width="10.125" style="0" customWidth="1"/>
    <col min="6" max="6" width="12.25390625" style="0" customWidth="1"/>
    <col min="7" max="7" width="10.625" style="0" hidden="1" customWidth="1"/>
    <col min="8" max="8" width="11.625" style="0" customWidth="1"/>
    <col min="9" max="9" width="12.625" style="0" customWidth="1"/>
    <col min="10" max="10" width="13.375" style="0" customWidth="1"/>
    <col min="11" max="11" width="36.75390625" style="0" customWidth="1"/>
    <col min="12" max="14" width="9.125" style="0" customWidth="1"/>
    <col min="259" max="259" width="5.25390625" style="0" customWidth="1"/>
    <col min="260" max="260" width="20.625" style="0" customWidth="1"/>
    <col min="261" max="261" width="9.75390625" style="0" customWidth="1"/>
    <col min="262" max="262" width="10.375" style="0" customWidth="1"/>
    <col min="263" max="263" width="10.625" style="0" customWidth="1"/>
    <col min="264" max="264" width="10.375" style="0" customWidth="1"/>
    <col min="265" max="266" width="10.25390625" style="0" customWidth="1"/>
    <col min="267" max="267" width="33.125" style="0" customWidth="1"/>
    <col min="515" max="515" width="5.25390625" style="0" customWidth="1"/>
    <col min="516" max="516" width="20.625" style="0" customWidth="1"/>
    <col min="517" max="517" width="9.75390625" style="0" customWidth="1"/>
    <col min="518" max="518" width="10.375" style="0" customWidth="1"/>
    <col min="519" max="519" width="10.625" style="0" customWidth="1"/>
    <col min="520" max="520" width="10.375" style="0" customWidth="1"/>
    <col min="521" max="522" width="10.25390625" style="0" customWidth="1"/>
    <col min="523" max="523" width="33.125" style="0" customWidth="1"/>
    <col min="771" max="771" width="5.25390625" style="0" customWidth="1"/>
    <col min="772" max="772" width="20.625" style="0" customWidth="1"/>
    <col min="773" max="773" width="9.75390625" style="0" customWidth="1"/>
    <col min="774" max="774" width="10.375" style="0" customWidth="1"/>
    <col min="775" max="775" width="10.625" style="0" customWidth="1"/>
    <col min="776" max="776" width="10.375" style="0" customWidth="1"/>
    <col min="777" max="778" width="10.25390625" style="0" customWidth="1"/>
    <col min="779" max="779" width="33.125" style="0" customWidth="1"/>
    <col min="1027" max="1027" width="5.25390625" style="0" customWidth="1"/>
    <col min="1028" max="1028" width="20.625" style="0" customWidth="1"/>
    <col min="1029" max="1029" width="9.75390625" style="0" customWidth="1"/>
    <col min="1030" max="1030" width="10.375" style="0" customWidth="1"/>
    <col min="1031" max="1031" width="10.625" style="0" customWidth="1"/>
    <col min="1032" max="1032" width="10.375" style="0" customWidth="1"/>
    <col min="1033" max="1034" width="10.25390625" style="0" customWidth="1"/>
    <col min="1035" max="1035" width="33.125" style="0" customWidth="1"/>
    <col min="1283" max="1283" width="5.25390625" style="0" customWidth="1"/>
    <col min="1284" max="1284" width="20.625" style="0" customWidth="1"/>
    <col min="1285" max="1285" width="9.75390625" style="0" customWidth="1"/>
    <col min="1286" max="1286" width="10.375" style="0" customWidth="1"/>
    <col min="1287" max="1287" width="10.625" style="0" customWidth="1"/>
    <col min="1288" max="1288" width="10.375" style="0" customWidth="1"/>
    <col min="1289" max="1290" width="10.25390625" style="0" customWidth="1"/>
    <col min="1291" max="1291" width="33.125" style="0" customWidth="1"/>
    <col min="1539" max="1539" width="5.25390625" style="0" customWidth="1"/>
    <col min="1540" max="1540" width="20.625" style="0" customWidth="1"/>
    <col min="1541" max="1541" width="9.75390625" style="0" customWidth="1"/>
    <col min="1542" max="1542" width="10.375" style="0" customWidth="1"/>
    <col min="1543" max="1543" width="10.625" style="0" customWidth="1"/>
    <col min="1544" max="1544" width="10.375" style="0" customWidth="1"/>
    <col min="1545" max="1546" width="10.25390625" style="0" customWidth="1"/>
    <col min="1547" max="1547" width="33.125" style="0" customWidth="1"/>
    <col min="1795" max="1795" width="5.25390625" style="0" customWidth="1"/>
    <col min="1796" max="1796" width="20.625" style="0" customWidth="1"/>
    <col min="1797" max="1797" width="9.75390625" style="0" customWidth="1"/>
    <col min="1798" max="1798" width="10.375" style="0" customWidth="1"/>
    <col min="1799" max="1799" width="10.625" style="0" customWidth="1"/>
    <col min="1800" max="1800" width="10.375" style="0" customWidth="1"/>
    <col min="1801" max="1802" width="10.25390625" style="0" customWidth="1"/>
    <col min="1803" max="1803" width="33.125" style="0" customWidth="1"/>
    <col min="2051" max="2051" width="5.25390625" style="0" customWidth="1"/>
    <col min="2052" max="2052" width="20.625" style="0" customWidth="1"/>
    <col min="2053" max="2053" width="9.75390625" style="0" customWidth="1"/>
    <col min="2054" max="2054" width="10.375" style="0" customWidth="1"/>
    <col min="2055" max="2055" width="10.625" style="0" customWidth="1"/>
    <col min="2056" max="2056" width="10.375" style="0" customWidth="1"/>
    <col min="2057" max="2058" width="10.25390625" style="0" customWidth="1"/>
    <col min="2059" max="2059" width="33.125" style="0" customWidth="1"/>
    <col min="2307" max="2307" width="5.25390625" style="0" customWidth="1"/>
    <col min="2308" max="2308" width="20.625" style="0" customWidth="1"/>
    <col min="2309" max="2309" width="9.75390625" style="0" customWidth="1"/>
    <col min="2310" max="2310" width="10.375" style="0" customWidth="1"/>
    <col min="2311" max="2311" width="10.625" style="0" customWidth="1"/>
    <col min="2312" max="2312" width="10.375" style="0" customWidth="1"/>
    <col min="2313" max="2314" width="10.25390625" style="0" customWidth="1"/>
    <col min="2315" max="2315" width="33.125" style="0" customWidth="1"/>
    <col min="2563" max="2563" width="5.25390625" style="0" customWidth="1"/>
    <col min="2564" max="2564" width="20.625" style="0" customWidth="1"/>
    <col min="2565" max="2565" width="9.75390625" style="0" customWidth="1"/>
    <col min="2566" max="2566" width="10.375" style="0" customWidth="1"/>
    <col min="2567" max="2567" width="10.625" style="0" customWidth="1"/>
    <col min="2568" max="2568" width="10.375" style="0" customWidth="1"/>
    <col min="2569" max="2570" width="10.25390625" style="0" customWidth="1"/>
    <col min="2571" max="2571" width="33.125" style="0" customWidth="1"/>
    <col min="2819" max="2819" width="5.25390625" style="0" customWidth="1"/>
    <col min="2820" max="2820" width="20.625" style="0" customWidth="1"/>
    <col min="2821" max="2821" width="9.75390625" style="0" customWidth="1"/>
    <col min="2822" max="2822" width="10.375" style="0" customWidth="1"/>
    <col min="2823" max="2823" width="10.625" style="0" customWidth="1"/>
    <col min="2824" max="2824" width="10.375" style="0" customWidth="1"/>
    <col min="2825" max="2826" width="10.25390625" style="0" customWidth="1"/>
    <col min="2827" max="2827" width="33.125" style="0" customWidth="1"/>
    <col min="3075" max="3075" width="5.25390625" style="0" customWidth="1"/>
    <col min="3076" max="3076" width="20.625" style="0" customWidth="1"/>
    <col min="3077" max="3077" width="9.75390625" style="0" customWidth="1"/>
    <col min="3078" max="3078" width="10.375" style="0" customWidth="1"/>
    <col min="3079" max="3079" width="10.625" style="0" customWidth="1"/>
    <col min="3080" max="3080" width="10.375" style="0" customWidth="1"/>
    <col min="3081" max="3082" width="10.25390625" style="0" customWidth="1"/>
    <col min="3083" max="3083" width="33.125" style="0" customWidth="1"/>
    <col min="3331" max="3331" width="5.25390625" style="0" customWidth="1"/>
    <col min="3332" max="3332" width="20.625" style="0" customWidth="1"/>
    <col min="3333" max="3333" width="9.75390625" style="0" customWidth="1"/>
    <col min="3334" max="3334" width="10.375" style="0" customWidth="1"/>
    <col min="3335" max="3335" width="10.625" style="0" customWidth="1"/>
    <col min="3336" max="3336" width="10.375" style="0" customWidth="1"/>
    <col min="3337" max="3338" width="10.25390625" style="0" customWidth="1"/>
    <col min="3339" max="3339" width="33.125" style="0" customWidth="1"/>
    <col min="3587" max="3587" width="5.25390625" style="0" customWidth="1"/>
    <col min="3588" max="3588" width="20.625" style="0" customWidth="1"/>
    <col min="3589" max="3589" width="9.75390625" style="0" customWidth="1"/>
    <col min="3590" max="3590" width="10.375" style="0" customWidth="1"/>
    <col min="3591" max="3591" width="10.625" style="0" customWidth="1"/>
    <col min="3592" max="3592" width="10.375" style="0" customWidth="1"/>
    <col min="3593" max="3594" width="10.25390625" style="0" customWidth="1"/>
    <col min="3595" max="3595" width="33.125" style="0" customWidth="1"/>
    <col min="3843" max="3843" width="5.25390625" style="0" customWidth="1"/>
    <col min="3844" max="3844" width="20.625" style="0" customWidth="1"/>
    <col min="3845" max="3845" width="9.75390625" style="0" customWidth="1"/>
    <col min="3846" max="3846" width="10.375" style="0" customWidth="1"/>
    <col min="3847" max="3847" width="10.625" style="0" customWidth="1"/>
    <col min="3848" max="3848" width="10.375" style="0" customWidth="1"/>
    <col min="3849" max="3850" width="10.25390625" style="0" customWidth="1"/>
    <col min="3851" max="3851" width="33.125" style="0" customWidth="1"/>
    <col min="4099" max="4099" width="5.25390625" style="0" customWidth="1"/>
    <col min="4100" max="4100" width="20.625" style="0" customWidth="1"/>
    <col min="4101" max="4101" width="9.75390625" style="0" customWidth="1"/>
    <col min="4102" max="4102" width="10.375" style="0" customWidth="1"/>
    <col min="4103" max="4103" width="10.625" style="0" customWidth="1"/>
    <col min="4104" max="4104" width="10.375" style="0" customWidth="1"/>
    <col min="4105" max="4106" width="10.25390625" style="0" customWidth="1"/>
    <col min="4107" max="4107" width="33.125" style="0" customWidth="1"/>
    <col min="4355" max="4355" width="5.25390625" style="0" customWidth="1"/>
    <col min="4356" max="4356" width="20.625" style="0" customWidth="1"/>
    <col min="4357" max="4357" width="9.75390625" style="0" customWidth="1"/>
    <col min="4358" max="4358" width="10.375" style="0" customWidth="1"/>
    <col min="4359" max="4359" width="10.625" style="0" customWidth="1"/>
    <col min="4360" max="4360" width="10.375" style="0" customWidth="1"/>
    <col min="4361" max="4362" width="10.25390625" style="0" customWidth="1"/>
    <col min="4363" max="4363" width="33.125" style="0" customWidth="1"/>
    <col min="4611" max="4611" width="5.25390625" style="0" customWidth="1"/>
    <col min="4612" max="4612" width="20.625" style="0" customWidth="1"/>
    <col min="4613" max="4613" width="9.75390625" style="0" customWidth="1"/>
    <col min="4614" max="4614" width="10.375" style="0" customWidth="1"/>
    <col min="4615" max="4615" width="10.625" style="0" customWidth="1"/>
    <col min="4616" max="4616" width="10.375" style="0" customWidth="1"/>
    <col min="4617" max="4618" width="10.25390625" style="0" customWidth="1"/>
    <col min="4619" max="4619" width="33.125" style="0" customWidth="1"/>
    <col min="4867" max="4867" width="5.25390625" style="0" customWidth="1"/>
    <col min="4868" max="4868" width="20.625" style="0" customWidth="1"/>
    <col min="4869" max="4869" width="9.75390625" style="0" customWidth="1"/>
    <col min="4870" max="4870" width="10.375" style="0" customWidth="1"/>
    <col min="4871" max="4871" width="10.625" style="0" customWidth="1"/>
    <col min="4872" max="4872" width="10.375" style="0" customWidth="1"/>
    <col min="4873" max="4874" width="10.25390625" style="0" customWidth="1"/>
    <col min="4875" max="4875" width="33.125" style="0" customWidth="1"/>
    <col min="5123" max="5123" width="5.25390625" style="0" customWidth="1"/>
    <col min="5124" max="5124" width="20.625" style="0" customWidth="1"/>
    <col min="5125" max="5125" width="9.75390625" style="0" customWidth="1"/>
    <col min="5126" max="5126" width="10.375" style="0" customWidth="1"/>
    <col min="5127" max="5127" width="10.625" style="0" customWidth="1"/>
    <col min="5128" max="5128" width="10.375" style="0" customWidth="1"/>
    <col min="5129" max="5130" width="10.25390625" style="0" customWidth="1"/>
    <col min="5131" max="5131" width="33.125" style="0" customWidth="1"/>
    <col min="5379" max="5379" width="5.25390625" style="0" customWidth="1"/>
    <col min="5380" max="5380" width="20.625" style="0" customWidth="1"/>
    <col min="5381" max="5381" width="9.75390625" style="0" customWidth="1"/>
    <col min="5382" max="5382" width="10.375" style="0" customWidth="1"/>
    <col min="5383" max="5383" width="10.625" style="0" customWidth="1"/>
    <col min="5384" max="5384" width="10.375" style="0" customWidth="1"/>
    <col min="5385" max="5386" width="10.25390625" style="0" customWidth="1"/>
    <col min="5387" max="5387" width="33.125" style="0" customWidth="1"/>
    <col min="5635" max="5635" width="5.25390625" style="0" customWidth="1"/>
    <col min="5636" max="5636" width="20.625" style="0" customWidth="1"/>
    <col min="5637" max="5637" width="9.75390625" style="0" customWidth="1"/>
    <col min="5638" max="5638" width="10.375" style="0" customWidth="1"/>
    <col min="5639" max="5639" width="10.625" style="0" customWidth="1"/>
    <col min="5640" max="5640" width="10.375" style="0" customWidth="1"/>
    <col min="5641" max="5642" width="10.25390625" style="0" customWidth="1"/>
    <col min="5643" max="5643" width="33.125" style="0" customWidth="1"/>
    <col min="5891" max="5891" width="5.25390625" style="0" customWidth="1"/>
    <col min="5892" max="5892" width="20.625" style="0" customWidth="1"/>
    <col min="5893" max="5893" width="9.75390625" style="0" customWidth="1"/>
    <col min="5894" max="5894" width="10.375" style="0" customWidth="1"/>
    <col min="5895" max="5895" width="10.625" style="0" customWidth="1"/>
    <col min="5896" max="5896" width="10.375" style="0" customWidth="1"/>
    <col min="5897" max="5898" width="10.25390625" style="0" customWidth="1"/>
    <col min="5899" max="5899" width="33.125" style="0" customWidth="1"/>
    <col min="6147" max="6147" width="5.25390625" style="0" customWidth="1"/>
    <col min="6148" max="6148" width="20.625" style="0" customWidth="1"/>
    <col min="6149" max="6149" width="9.75390625" style="0" customWidth="1"/>
    <col min="6150" max="6150" width="10.375" style="0" customWidth="1"/>
    <col min="6151" max="6151" width="10.625" style="0" customWidth="1"/>
    <col min="6152" max="6152" width="10.375" style="0" customWidth="1"/>
    <col min="6153" max="6154" width="10.25390625" style="0" customWidth="1"/>
    <col min="6155" max="6155" width="33.125" style="0" customWidth="1"/>
    <col min="6403" max="6403" width="5.25390625" style="0" customWidth="1"/>
    <col min="6404" max="6404" width="20.625" style="0" customWidth="1"/>
    <col min="6405" max="6405" width="9.75390625" style="0" customWidth="1"/>
    <col min="6406" max="6406" width="10.375" style="0" customWidth="1"/>
    <col min="6407" max="6407" width="10.625" style="0" customWidth="1"/>
    <col min="6408" max="6408" width="10.375" style="0" customWidth="1"/>
    <col min="6409" max="6410" width="10.25390625" style="0" customWidth="1"/>
    <col min="6411" max="6411" width="33.125" style="0" customWidth="1"/>
    <col min="6659" max="6659" width="5.25390625" style="0" customWidth="1"/>
    <col min="6660" max="6660" width="20.625" style="0" customWidth="1"/>
    <col min="6661" max="6661" width="9.75390625" style="0" customWidth="1"/>
    <col min="6662" max="6662" width="10.375" style="0" customWidth="1"/>
    <col min="6663" max="6663" width="10.625" style="0" customWidth="1"/>
    <col min="6664" max="6664" width="10.375" style="0" customWidth="1"/>
    <col min="6665" max="6666" width="10.25390625" style="0" customWidth="1"/>
    <col min="6667" max="6667" width="33.125" style="0" customWidth="1"/>
    <col min="6915" max="6915" width="5.25390625" style="0" customWidth="1"/>
    <col min="6916" max="6916" width="20.625" style="0" customWidth="1"/>
    <col min="6917" max="6917" width="9.75390625" style="0" customWidth="1"/>
    <col min="6918" max="6918" width="10.375" style="0" customWidth="1"/>
    <col min="6919" max="6919" width="10.625" style="0" customWidth="1"/>
    <col min="6920" max="6920" width="10.375" style="0" customWidth="1"/>
    <col min="6921" max="6922" width="10.25390625" style="0" customWidth="1"/>
    <col min="6923" max="6923" width="33.125" style="0" customWidth="1"/>
    <col min="7171" max="7171" width="5.25390625" style="0" customWidth="1"/>
    <col min="7172" max="7172" width="20.625" style="0" customWidth="1"/>
    <col min="7173" max="7173" width="9.75390625" style="0" customWidth="1"/>
    <col min="7174" max="7174" width="10.375" style="0" customWidth="1"/>
    <col min="7175" max="7175" width="10.625" style="0" customWidth="1"/>
    <col min="7176" max="7176" width="10.375" style="0" customWidth="1"/>
    <col min="7177" max="7178" width="10.25390625" style="0" customWidth="1"/>
    <col min="7179" max="7179" width="33.125" style="0" customWidth="1"/>
    <col min="7427" max="7427" width="5.25390625" style="0" customWidth="1"/>
    <col min="7428" max="7428" width="20.625" style="0" customWidth="1"/>
    <col min="7429" max="7429" width="9.75390625" style="0" customWidth="1"/>
    <col min="7430" max="7430" width="10.375" style="0" customWidth="1"/>
    <col min="7431" max="7431" width="10.625" style="0" customWidth="1"/>
    <col min="7432" max="7432" width="10.375" style="0" customWidth="1"/>
    <col min="7433" max="7434" width="10.25390625" style="0" customWidth="1"/>
    <col min="7435" max="7435" width="33.125" style="0" customWidth="1"/>
    <col min="7683" max="7683" width="5.25390625" style="0" customWidth="1"/>
    <col min="7684" max="7684" width="20.625" style="0" customWidth="1"/>
    <col min="7685" max="7685" width="9.75390625" style="0" customWidth="1"/>
    <col min="7686" max="7686" width="10.375" style="0" customWidth="1"/>
    <col min="7687" max="7687" width="10.625" style="0" customWidth="1"/>
    <col min="7688" max="7688" width="10.375" style="0" customWidth="1"/>
    <col min="7689" max="7690" width="10.25390625" style="0" customWidth="1"/>
    <col min="7691" max="7691" width="33.125" style="0" customWidth="1"/>
    <col min="7939" max="7939" width="5.25390625" style="0" customWidth="1"/>
    <col min="7940" max="7940" width="20.625" style="0" customWidth="1"/>
    <col min="7941" max="7941" width="9.75390625" style="0" customWidth="1"/>
    <col min="7942" max="7942" width="10.375" style="0" customWidth="1"/>
    <col min="7943" max="7943" width="10.625" style="0" customWidth="1"/>
    <col min="7944" max="7944" width="10.375" style="0" customWidth="1"/>
    <col min="7945" max="7946" width="10.25390625" style="0" customWidth="1"/>
    <col min="7947" max="7947" width="33.125" style="0" customWidth="1"/>
    <col min="8195" max="8195" width="5.25390625" style="0" customWidth="1"/>
    <col min="8196" max="8196" width="20.625" style="0" customWidth="1"/>
    <col min="8197" max="8197" width="9.75390625" style="0" customWidth="1"/>
    <col min="8198" max="8198" width="10.375" style="0" customWidth="1"/>
    <col min="8199" max="8199" width="10.625" style="0" customWidth="1"/>
    <col min="8200" max="8200" width="10.375" style="0" customWidth="1"/>
    <col min="8201" max="8202" width="10.25390625" style="0" customWidth="1"/>
    <col min="8203" max="8203" width="33.125" style="0" customWidth="1"/>
    <col min="8451" max="8451" width="5.25390625" style="0" customWidth="1"/>
    <col min="8452" max="8452" width="20.625" style="0" customWidth="1"/>
    <col min="8453" max="8453" width="9.75390625" style="0" customWidth="1"/>
    <col min="8454" max="8454" width="10.375" style="0" customWidth="1"/>
    <col min="8455" max="8455" width="10.625" style="0" customWidth="1"/>
    <col min="8456" max="8456" width="10.375" style="0" customWidth="1"/>
    <col min="8457" max="8458" width="10.25390625" style="0" customWidth="1"/>
    <col min="8459" max="8459" width="33.125" style="0" customWidth="1"/>
    <col min="8707" max="8707" width="5.25390625" style="0" customWidth="1"/>
    <col min="8708" max="8708" width="20.625" style="0" customWidth="1"/>
    <col min="8709" max="8709" width="9.75390625" style="0" customWidth="1"/>
    <col min="8710" max="8710" width="10.375" style="0" customWidth="1"/>
    <col min="8711" max="8711" width="10.625" style="0" customWidth="1"/>
    <col min="8712" max="8712" width="10.375" style="0" customWidth="1"/>
    <col min="8713" max="8714" width="10.25390625" style="0" customWidth="1"/>
    <col min="8715" max="8715" width="33.125" style="0" customWidth="1"/>
    <col min="8963" max="8963" width="5.25390625" style="0" customWidth="1"/>
    <col min="8964" max="8964" width="20.625" style="0" customWidth="1"/>
    <col min="8965" max="8965" width="9.75390625" style="0" customWidth="1"/>
    <col min="8966" max="8966" width="10.375" style="0" customWidth="1"/>
    <col min="8967" max="8967" width="10.625" style="0" customWidth="1"/>
    <col min="8968" max="8968" width="10.375" style="0" customWidth="1"/>
    <col min="8969" max="8970" width="10.25390625" style="0" customWidth="1"/>
    <col min="8971" max="8971" width="33.125" style="0" customWidth="1"/>
    <col min="9219" max="9219" width="5.25390625" style="0" customWidth="1"/>
    <col min="9220" max="9220" width="20.625" style="0" customWidth="1"/>
    <col min="9221" max="9221" width="9.75390625" style="0" customWidth="1"/>
    <col min="9222" max="9222" width="10.375" style="0" customWidth="1"/>
    <col min="9223" max="9223" width="10.625" style="0" customWidth="1"/>
    <col min="9224" max="9224" width="10.375" style="0" customWidth="1"/>
    <col min="9225" max="9226" width="10.25390625" style="0" customWidth="1"/>
    <col min="9227" max="9227" width="33.125" style="0" customWidth="1"/>
    <col min="9475" max="9475" width="5.25390625" style="0" customWidth="1"/>
    <col min="9476" max="9476" width="20.625" style="0" customWidth="1"/>
    <col min="9477" max="9477" width="9.75390625" style="0" customWidth="1"/>
    <col min="9478" max="9478" width="10.375" style="0" customWidth="1"/>
    <col min="9479" max="9479" width="10.625" style="0" customWidth="1"/>
    <col min="9480" max="9480" width="10.375" style="0" customWidth="1"/>
    <col min="9481" max="9482" width="10.25390625" style="0" customWidth="1"/>
    <col min="9483" max="9483" width="33.125" style="0" customWidth="1"/>
    <col min="9731" max="9731" width="5.25390625" style="0" customWidth="1"/>
    <col min="9732" max="9732" width="20.625" style="0" customWidth="1"/>
    <col min="9733" max="9733" width="9.75390625" style="0" customWidth="1"/>
    <col min="9734" max="9734" width="10.375" style="0" customWidth="1"/>
    <col min="9735" max="9735" width="10.625" style="0" customWidth="1"/>
    <col min="9736" max="9736" width="10.375" style="0" customWidth="1"/>
    <col min="9737" max="9738" width="10.25390625" style="0" customWidth="1"/>
    <col min="9739" max="9739" width="33.125" style="0" customWidth="1"/>
    <col min="9987" max="9987" width="5.25390625" style="0" customWidth="1"/>
    <col min="9988" max="9988" width="20.625" style="0" customWidth="1"/>
    <col min="9989" max="9989" width="9.75390625" style="0" customWidth="1"/>
    <col min="9990" max="9990" width="10.375" style="0" customWidth="1"/>
    <col min="9991" max="9991" width="10.625" style="0" customWidth="1"/>
    <col min="9992" max="9992" width="10.375" style="0" customWidth="1"/>
    <col min="9993" max="9994" width="10.25390625" style="0" customWidth="1"/>
    <col min="9995" max="9995" width="33.125" style="0" customWidth="1"/>
    <col min="10243" max="10243" width="5.25390625" style="0" customWidth="1"/>
    <col min="10244" max="10244" width="20.625" style="0" customWidth="1"/>
    <col min="10245" max="10245" width="9.75390625" style="0" customWidth="1"/>
    <col min="10246" max="10246" width="10.375" style="0" customWidth="1"/>
    <col min="10247" max="10247" width="10.625" style="0" customWidth="1"/>
    <col min="10248" max="10248" width="10.375" style="0" customWidth="1"/>
    <col min="10249" max="10250" width="10.25390625" style="0" customWidth="1"/>
    <col min="10251" max="10251" width="33.125" style="0" customWidth="1"/>
    <col min="10499" max="10499" width="5.25390625" style="0" customWidth="1"/>
    <col min="10500" max="10500" width="20.625" style="0" customWidth="1"/>
    <col min="10501" max="10501" width="9.75390625" style="0" customWidth="1"/>
    <col min="10502" max="10502" width="10.375" style="0" customWidth="1"/>
    <col min="10503" max="10503" width="10.625" style="0" customWidth="1"/>
    <col min="10504" max="10504" width="10.375" style="0" customWidth="1"/>
    <col min="10505" max="10506" width="10.25390625" style="0" customWidth="1"/>
    <col min="10507" max="10507" width="33.125" style="0" customWidth="1"/>
    <col min="10755" max="10755" width="5.25390625" style="0" customWidth="1"/>
    <col min="10756" max="10756" width="20.625" style="0" customWidth="1"/>
    <col min="10757" max="10757" width="9.75390625" style="0" customWidth="1"/>
    <col min="10758" max="10758" width="10.375" style="0" customWidth="1"/>
    <col min="10759" max="10759" width="10.625" style="0" customWidth="1"/>
    <col min="10760" max="10760" width="10.375" style="0" customWidth="1"/>
    <col min="10761" max="10762" width="10.25390625" style="0" customWidth="1"/>
    <col min="10763" max="10763" width="33.125" style="0" customWidth="1"/>
    <col min="11011" max="11011" width="5.25390625" style="0" customWidth="1"/>
    <col min="11012" max="11012" width="20.625" style="0" customWidth="1"/>
    <col min="11013" max="11013" width="9.75390625" style="0" customWidth="1"/>
    <col min="11014" max="11014" width="10.375" style="0" customWidth="1"/>
    <col min="11015" max="11015" width="10.625" style="0" customWidth="1"/>
    <col min="11016" max="11016" width="10.375" style="0" customWidth="1"/>
    <col min="11017" max="11018" width="10.25390625" style="0" customWidth="1"/>
    <col min="11019" max="11019" width="33.125" style="0" customWidth="1"/>
    <col min="11267" max="11267" width="5.25390625" style="0" customWidth="1"/>
    <col min="11268" max="11268" width="20.625" style="0" customWidth="1"/>
    <col min="11269" max="11269" width="9.75390625" style="0" customWidth="1"/>
    <col min="11270" max="11270" width="10.375" style="0" customWidth="1"/>
    <col min="11271" max="11271" width="10.625" style="0" customWidth="1"/>
    <col min="11272" max="11272" width="10.375" style="0" customWidth="1"/>
    <col min="11273" max="11274" width="10.25390625" style="0" customWidth="1"/>
    <col min="11275" max="11275" width="33.125" style="0" customWidth="1"/>
    <col min="11523" max="11523" width="5.25390625" style="0" customWidth="1"/>
    <col min="11524" max="11524" width="20.625" style="0" customWidth="1"/>
    <col min="11525" max="11525" width="9.75390625" style="0" customWidth="1"/>
    <col min="11526" max="11526" width="10.375" style="0" customWidth="1"/>
    <col min="11527" max="11527" width="10.625" style="0" customWidth="1"/>
    <col min="11528" max="11528" width="10.375" style="0" customWidth="1"/>
    <col min="11529" max="11530" width="10.25390625" style="0" customWidth="1"/>
    <col min="11531" max="11531" width="33.125" style="0" customWidth="1"/>
    <col min="11779" max="11779" width="5.25390625" style="0" customWidth="1"/>
    <col min="11780" max="11780" width="20.625" style="0" customWidth="1"/>
    <col min="11781" max="11781" width="9.75390625" style="0" customWidth="1"/>
    <col min="11782" max="11782" width="10.375" style="0" customWidth="1"/>
    <col min="11783" max="11783" width="10.625" style="0" customWidth="1"/>
    <col min="11784" max="11784" width="10.375" style="0" customWidth="1"/>
    <col min="11785" max="11786" width="10.25390625" style="0" customWidth="1"/>
    <col min="11787" max="11787" width="33.125" style="0" customWidth="1"/>
    <col min="12035" max="12035" width="5.25390625" style="0" customWidth="1"/>
    <col min="12036" max="12036" width="20.625" style="0" customWidth="1"/>
    <col min="12037" max="12037" width="9.75390625" style="0" customWidth="1"/>
    <col min="12038" max="12038" width="10.375" style="0" customWidth="1"/>
    <col min="12039" max="12039" width="10.625" style="0" customWidth="1"/>
    <col min="12040" max="12040" width="10.375" style="0" customWidth="1"/>
    <col min="12041" max="12042" width="10.25390625" style="0" customWidth="1"/>
    <col min="12043" max="12043" width="33.125" style="0" customWidth="1"/>
    <col min="12291" max="12291" width="5.25390625" style="0" customWidth="1"/>
    <col min="12292" max="12292" width="20.625" style="0" customWidth="1"/>
    <col min="12293" max="12293" width="9.75390625" style="0" customWidth="1"/>
    <col min="12294" max="12294" width="10.375" style="0" customWidth="1"/>
    <col min="12295" max="12295" width="10.625" style="0" customWidth="1"/>
    <col min="12296" max="12296" width="10.375" style="0" customWidth="1"/>
    <col min="12297" max="12298" width="10.25390625" style="0" customWidth="1"/>
    <col min="12299" max="12299" width="33.125" style="0" customWidth="1"/>
    <col min="12547" max="12547" width="5.25390625" style="0" customWidth="1"/>
    <col min="12548" max="12548" width="20.625" style="0" customWidth="1"/>
    <col min="12549" max="12549" width="9.75390625" style="0" customWidth="1"/>
    <col min="12550" max="12550" width="10.375" style="0" customWidth="1"/>
    <col min="12551" max="12551" width="10.625" style="0" customWidth="1"/>
    <col min="12552" max="12552" width="10.375" style="0" customWidth="1"/>
    <col min="12553" max="12554" width="10.25390625" style="0" customWidth="1"/>
    <col min="12555" max="12555" width="33.125" style="0" customWidth="1"/>
    <col min="12803" max="12803" width="5.25390625" style="0" customWidth="1"/>
    <col min="12804" max="12804" width="20.625" style="0" customWidth="1"/>
    <col min="12805" max="12805" width="9.75390625" style="0" customWidth="1"/>
    <col min="12806" max="12806" width="10.375" style="0" customWidth="1"/>
    <col min="12807" max="12807" width="10.625" style="0" customWidth="1"/>
    <col min="12808" max="12808" width="10.375" style="0" customWidth="1"/>
    <col min="12809" max="12810" width="10.25390625" style="0" customWidth="1"/>
    <col min="12811" max="12811" width="33.125" style="0" customWidth="1"/>
    <col min="13059" max="13059" width="5.25390625" style="0" customWidth="1"/>
    <col min="13060" max="13060" width="20.625" style="0" customWidth="1"/>
    <col min="13061" max="13061" width="9.75390625" style="0" customWidth="1"/>
    <col min="13062" max="13062" width="10.375" style="0" customWidth="1"/>
    <col min="13063" max="13063" width="10.625" style="0" customWidth="1"/>
    <col min="13064" max="13064" width="10.375" style="0" customWidth="1"/>
    <col min="13065" max="13066" width="10.25390625" style="0" customWidth="1"/>
    <col min="13067" max="13067" width="33.125" style="0" customWidth="1"/>
    <col min="13315" max="13315" width="5.25390625" style="0" customWidth="1"/>
    <col min="13316" max="13316" width="20.625" style="0" customWidth="1"/>
    <col min="13317" max="13317" width="9.75390625" style="0" customWidth="1"/>
    <col min="13318" max="13318" width="10.375" style="0" customWidth="1"/>
    <col min="13319" max="13319" width="10.625" style="0" customWidth="1"/>
    <col min="13320" max="13320" width="10.375" style="0" customWidth="1"/>
    <col min="13321" max="13322" width="10.25390625" style="0" customWidth="1"/>
    <col min="13323" max="13323" width="33.125" style="0" customWidth="1"/>
    <col min="13571" max="13571" width="5.25390625" style="0" customWidth="1"/>
    <col min="13572" max="13572" width="20.625" style="0" customWidth="1"/>
    <col min="13573" max="13573" width="9.75390625" style="0" customWidth="1"/>
    <col min="13574" max="13574" width="10.375" style="0" customWidth="1"/>
    <col min="13575" max="13575" width="10.625" style="0" customWidth="1"/>
    <col min="13576" max="13576" width="10.375" style="0" customWidth="1"/>
    <col min="13577" max="13578" width="10.25390625" style="0" customWidth="1"/>
    <col min="13579" max="13579" width="33.125" style="0" customWidth="1"/>
    <col min="13827" max="13827" width="5.25390625" style="0" customWidth="1"/>
    <col min="13828" max="13828" width="20.625" style="0" customWidth="1"/>
    <col min="13829" max="13829" width="9.75390625" style="0" customWidth="1"/>
    <col min="13830" max="13830" width="10.375" style="0" customWidth="1"/>
    <col min="13831" max="13831" width="10.625" style="0" customWidth="1"/>
    <col min="13832" max="13832" width="10.375" style="0" customWidth="1"/>
    <col min="13833" max="13834" width="10.25390625" style="0" customWidth="1"/>
    <col min="13835" max="13835" width="33.125" style="0" customWidth="1"/>
    <col min="14083" max="14083" width="5.25390625" style="0" customWidth="1"/>
    <col min="14084" max="14084" width="20.625" style="0" customWidth="1"/>
    <col min="14085" max="14085" width="9.75390625" style="0" customWidth="1"/>
    <col min="14086" max="14086" width="10.375" style="0" customWidth="1"/>
    <col min="14087" max="14087" width="10.625" style="0" customWidth="1"/>
    <col min="14088" max="14088" width="10.375" style="0" customWidth="1"/>
    <col min="14089" max="14090" width="10.25390625" style="0" customWidth="1"/>
    <col min="14091" max="14091" width="33.125" style="0" customWidth="1"/>
    <col min="14339" max="14339" width="5.25390625" style="0" customWidth="1"/>
    <col min="14340" max="14340" width="20.625" style="0" customWidth="1"/>
    <col min="14341" max="14341" width="9.75390625" style="0" customWidth="1"/>
    <col min="14342" max="14342" width="10.375" style="0" customWidth="1"/>
    <col min="14343" max="14343" width="10.625" style="0" customWidth="1"/>
    <col min="14344" max="14344" width="10.375" style="0" customWidth="1"/>
    <col min="14345" max="14346" width="10.25390625" style="0" customWidth="1"/>
    <col min="14347" max="14347" width="33.125" style="0" customWidth="1"/>
    <col min="14595" max="14595" width="5.25390625" style="0" customWidth="1"/>
    <col min="14596" max="14596" width="20.625" style="0" customWidth="1"/>
    <col min="14597" max="14597" width="9.75390625" style="0" customWidth="1"/>
    <col min="14598" max="14598" width="10.375" style="0" customWidth="1"/>
    <col min="14599" max="14599" width="10.625" style="0" customWidth="1"/>
    <col min="14600" max="14600" width="10.375" style="0" customWidth="1"/>
    <col min="14601" max="14602" width="10.25390625" style="0" customWidth="1"/>
    <col min="14603" max="14603" width="33.125" style="0" customWidth="1"/>
    <col min="14851" max="14851" width="5.25390625" style="0" customWidth="1"/>
    <col min="14852" max="14852" width="20.625" style="0" customWidth="1"/>
    <col min="14853" max="14853" width="9.75390625" style="0" customWidth="1"/>
    <col min="14854" max="14854" width="10.375" style="0" customWidth="1"/>
    <col min="14855" max="14855" width="10.625" style="0" customWidth="1"/>
    <col min="14856" max="14856" width="10.375" style="0" customWidth="1"/>
    <col min="14857" max="14858" width="10.25390625" style="0" customWidth="1"/>
    <col min="14859" max="14859" width="33.125" style="0" customWidth="1"/>
    <col min="15107" max="15107" width="5.25390625" style="0" customWidth="1"/>
    <col min="15108" max="15108" width="20.625" style="0" customWidth="1"/>
    <col min="15109" max="15109" width="9.75390625" style="0" customWidth="1"/>
    <col min="15110" max="15110" width="10.375" style="0" customWidth="1"/>
    <col min="15111" max="15111" width="10.625" style="0" customWidth="1"/>
    <col min="15112" max="15112" width="10.375" style="0" customWidth="1"/>
    <col min="15113" max="15114" width="10.25390625" style="0" customWidth="1"/>
    <col min="15115" max="15115" width="33.125" style="0" customWidth="1"/>
    <col min="15363" max="15363" width="5.25390625" style="0" customWidth="1"/>
    <col min="15364" max="15364" width="20.625" style="0" customWidth="1"/>
    <col min="15365" max="15365" width="9.75390625" style="0" customWidth="1"/>
    <col min="15366" max="15366" width="10.375" style="0" customWidth="1"/>
    <col min="15367" max="15367" width="10.625" style="0" customWidth="1"/>
    <col min="15368" max="15368" width="10.375" style="0" customWidth="1"/>
    <col min="15369" max="15370" width="10.25390625" style="0" customWidth="1"/>
    <col min="15371" max="15371" width="33.125" style="0" customWidth="1"/>
    <col min="15619" max="15619" width="5.25390625" style="0" customWidth="1"/>
    <col min="15620" max="15620" width="20.625" style="0" customWidth="1"/>
    <col min="15621" max="15621" width="9.75390625" style="0" customWidth="1"/>
    <col min="15622" max="15622" width="10.375" style="0" customWidth="1"/>
    <col min="15623" max="15623" width="10.625" style="0" customWidth="1"/>
    <col min="15624" max="15624" width="10.375" style="0" customWidth="1"/>
    <col min="15625" max="15626" width="10.25390625" style="0" customWidth="1"/>
    <col min="15627" max="15627" width="33.125" style="0" customWidth="1"/>
    <col min="15875" max="15875" width="5.25390625" style="0" customWidth="1"/>
    <col min="15876" max="15876" width="20.625" style="0" customWidth="1"/>
    <col min="15877" max="15877" width="9.75390625" style="0" customWidth="1"/>
    <col min="15878" max="15878" width="10.375" style="0" customWidth="1"/>
    <col min="15879" max="15879" width="10.625" style="0" customWidth="1"/>
    <col min="15880" max="15880" width="10.375" style="0" customWidth="1"/>
    <col min="15881" max="15882" width="10.25390625" style="0" customWidth="1"/>
    <col min="15883" max="15883" width="33.125" style="0" customWidth="1"/>
    <col min="16131" max="16131" width="5.25390625" style="0" customWidth="1"/>
    <col min="16132" max="16132" width="20.625" style="0" customWidth="1"/>
    <col min="16133" max="16133" width="9.75390625" style="0" customWidth="1"/>
    <col min="16134" max="16134" width="10.375" style="0" customWidth="1"/>
    <col min="16135" max="16135" width="10.625" style="0" customWidth="1"/>
    <col min="16136" max="16136" width="10.375" style="0" customWidth="1"/>
    <col min="16137" max="16138" width="10.25390625" style="0" customWidth="1"/>
    <col min="16139" max="16139" width="33.125" style="0" customWidth="1"/>
  </cols>
  <sheetData>
    <row r="1" spans="1:13" ht="15.75">
      <c r="A1" s="59"/>
      <c r="B1" s="60"/>
      <c r="C1" s="61"/>
      <c r="D1" s="61"/>
      <c r="E1" s="60"/>
      <c r="F1" s="61"/>
      <c r="G1" s="61"/>
      <c r="H1" s="62"/>
      <c r="I1" s="62"/>
      <c r="J1" s="398" t="s">
        <v>0</v>
      </c>
      <c r="K1" s="398"/>
      <c r="L1" s="398"/>
      <c r="M1" s="398"/>
    </row>
    <row r="2" spans="1:13" ht="15.75">
      <c r="A2" s="59"/>
      <c r="B2" s="60"/>
      <c r="C2" s="61"/>
      <c r="D2" s="61"/>
      <c r="E2" s="60"/>
      <c r="F2" s="61"/>
      <c r="G2" s="61"/>
      <c r="H2" s="62"/>
      <c r="I2" s="62"/>
      <c r="J2" s="398" t="s">
        <v>1</v>
      </c>
      <c r="K2" s="398"/>
      <c r="L2" s="398"/>
      <c r="M2" s="398"/>
    </row>
    <row r="3" spans="1:13" ht="15.75">
      <c r="A3" s="63"/>
      <c r="B3" s="64"/>
      <c r="C3" s="65"/>
      <c r="D3" s="65"/>
      <c r="E3" s="64"/>
      <c r="F3" s="65"/>
      <c r="G3" s="65"/>
      <c r="H3" s="66"/>
      <c r="I3" s="66"/>
      <c r="J3" s="398" t="s">
        <v>2</v>
      </c>
      <c r="K3" s="398"/>
      <c r="L3" s="398"/>
      <c r="M3" s="398"/>
    </row>
    <row r="4" spans="1:13" ht="24.75" customHeight="1">
      <c r="A4" s="67"/>
      <c r="B4" s="68"/>
      <c r="C4" s="66"/>
      <c r="D4" s="66"/>
      <c r="E4" s="66"/>
      <c r="F4" s="65"/>
      <c r="G4" s="65"/>
      <c r="H4" s="66"/>
      <c r="I4" s="66"/>
      <c r="J4" s="398" t="s">
        <v>3</v>
      </c>
      <c r="K4" s="398"/>
      <c r="L4" s="398"/>
      <c r="M4" s="398"/>
    </row>
    <row r="5" spans="1:13" ht="8.25" customHeight="1">
      <c r="A5" s="67"/>
      <c r="B5" s="68"/>
      <c r="C5" s="66"/>
      <c r="D5" s="66"/>
      <c r="E5" s="66"/>
      <c r="F5" s="65"/>
      <c r="G5" s="65"/>
      <c r="H5" s="66"/>
      <c r="I5" s="66"/>
      <c r="J5" s="30"/>
      <c r="K5" s="398"/>
      <c r="L5" s="398"/>
      <c r="M5" s="398"/>
    </row>
    <row r="6" spans="1:11" ht="28.9" customHeight="1">
      <c r="A6" s="1959" t="s">
        <v>702</v>
      </c>
      <c r="B6" s="1959"/>
      <c r="C6" s="1959"/>
      <c r="D6" s="1959"/>
      <c r="E6" s="1959"/>
      <c r="F6" s="1959"/>
      <c r="G6" s="1959"/>
      <c r="H6" s="1959"/>
      <c r="I6" s="1959"/>
      <c r="J6" s="1959"/>
      <c r="K6" s="526"/>
    </row>
    <row r="7" spans="1:11" ht="6.75" customHeight="1" thickBot="1">
      <c r="A7" s="67"/>
      <c r="B7" s="720"/>
      <c r="C7" s="720"/>
      <c r="D7" s="720"/>
      <c r="E7" s="720"/>
      <c r="F7" s="720"/>
      <c r="G7" s="720"/>
      <c r="H7" s="720"/>
      <c r="I7" s="720"/>
      <c r="J7" s="720"/>
      <c r="K7" s="69"/>
    </row>
    <row r="8" spans="1:11" ht="14.45" customHeight="1">
      <c r="A8" s="1960" t="s">
        <v>44</v>
      </c>
      <c r="B8" s="1962" t="s">
        <v>6</v>
      </c>
      <c r="C8" s="1964" t="s">
        <v>97</v>
      </c>
      <c r="D8" s="1965"/>
      <c r="E8" s="1965"/>
      <c r="F8" s="1966" t="s">
        <v>98</v>
      </c>
      <c r="G8" s="1965"/>
      <c r="H8" s="1967"/>
      <c r="I8" s="1966" t="s">
        <v>8</v>
      </c>
      <c r="J8" s="1973"/>
      <c r="K8" s="1973" t="s">
        <v>49</v>
      </c>
    </row>
    <row r="9" spans="1:11" ht="14.25">
      <c r="A9" s="1961"/>
      <c r="B9" s="1961"/>
      <c r="C9" s="1968"/>
      <c r="D9" s="1969"/>
      <c r="E9" s="1969"/>
      <c r="F9" s="1968"/>
      <c r="G9" s="1969"/>
      <c r="H9" s="1970"/>
      <c r="I9" s="1971" t="s">
        <v>99</v>
      </c>
      <c r="J9" s="1976"/>
      <c r="K9" s="1974"/>
    </row>
    <row r="10" spans="1:11" ht="39" thickBot="1">
      <c r="A10" s="1952"/>
      <c r="B10" s="1963"/>
      <c r="C10" s="865" t="s">
        <v>100</v>
      </c>
      <c r="D10" s="866" t="s">
        <v>292</v>
      </c>
      <c r="E10" s="867" t="s">
        <v>700</v>
      </c>
      <c r="F10" s="865" t="s">
        <v>101</v>
      </c>
      <c r="G10" s="866" t="s">
        <v>292</v>
      </c>
      <c r="H10" s="868" t="s">
        <v>701</v>
      </c>
      <c r="I10" s="865" t="s">
        <v>102</v>
      </c>
      <c r="J10" s="868" t="s">
        <v>701</v>
      </c>
      <c r="K10" s="1975"/>
    </row>
    <row r="11" spans="1:11" ht="11.45" customHeight="1" thickBot="1">
      <c r="A11" s="70"/>
      <c r="B11" s="71"/>
      <c r="C11" s="72"/>
      <c r="D11" s="533"/>
      <c r="E11" s="73"/>
      <c r="F11" s="72"/>
      <c r="G11" s="533"/>
      <c r="H11" s="73"/>
      <c r="I11" s="74"/>
      <c r="J11" s="876"/>
      <c r="K11" s="869"/>
    </row>
    <row r="12" spans="1:11" ht="18.75" customHeight="1">
      <c r="A12" s="857">
        <v>1</v>
      </c>
      <c r="B12" s="255" t="s">
        <v>307</v>
      </c>
      <c r="C12" s="80">
        <v>12</v>
      </c>
      <c r="D12" s="535">
        <v>1.424</v>
      </c>
      <c r="E12" s="877">
        <f aca="true" t="shared" si="0" ref="E12:E79">C12*D12</f>
        <v>17.088</v>
      </c>
      <c r="F12" s="80">
        <v>12</v>
      </c>
      <c r="G12" s="535">
        <v>0.21</v>
      </c>
      <c r="H12" s="877">
        <f>F12*G12</f>
        <v>2.52</v>
      </c>
      <c r="I12" s="858">
        <f>(C12+F12)/1000</f>
        <v>0.024</v>
      </c>
      <c r="J12" s="870">
        <f aca="true" t="shared" si="1" ref="J12:J79">E12+H12</f>
        <v>19.608</v>
      </c>
      <c r="K12" s="794"/>
    </row>
    <row r="13" spans="1:13" ht="24" customHeight="1">
      <c r="A13" s="857">
        <f>A12+1</f>
        <v>2</v>
      </c>
      <c r="B13" s="859" t="s">
        <v>312</v>
      </c>
      <c r="C13" s="878">
        <v>59</v>
      </c>
      <c r="D13" s="535">
        <v>1.58</v>
      </c>
      <c r="E13" s="877">
        <f t="shared" si="0"/>
        <v>93.22</v>
      </c>
      <c r="F13" s="80"/>
      <c r="G13" s="535">
        <v>0.21</v>
      </c>
      <c r="H13" s="877">
        <f aca="true" t="shared" si="2" ref="H13:H81">F13*G13</f>
        <v>0</v>
      </c>
      <c r="I13" s="858">
        <f aca="true" t="shared" si="3" ref="I13:I77">(C13+F13)/1000</f>
        <v>0.059</v>
      </c>
      <c r="J13" s="871">
        <f t="shared" si="1"/>
        <v>93.22</v>
      </c>
      <c r="K13" s="795" t="s">
        <v>669</v>
      </c>
      <c r="L13" s="796" t="s">
        <v>670</v>
      </c>
      <c r="M13" t="s">
        <v>671</v>
      </c>
    </row>
    <row r="14" spans="1:12" ht="15" customHeight="1">
      <c r="A14" s="857">
        <f aca="true" t="shared" si="4" ref="A14:A83">A13+1</f>
        <v>3</v>
      </c>
      <c r="B14" s="859" t="s">
        <v>72</v>
      </c>
      <c r="C14" s="878">
        <v>11</v>
      </c>
      <c r="D14" s="535">
        <v>1.424</v>
      </c>
      <c r="E14" s="877">
        <f t="shared" si="0"/>
        <v>15.664</v>
      </c>
      <c r="F14" s="80">
        <v>104</v>
      </c>
      <c r="G14" s="535">
        <v>0.21</v>
      </c>
      <c r="H14" s="877">
        <f t="shared" si="2"/>
        <v>21.84</v>
      </c>
      <c r="I14" s="858">
        <f t="shared" si="3"/>
        <v>0.115</v>
      </c>
      <c r="J14" s="871">
        <f t="shared" si="1"/>
        <v>37.504</v>
      </c>
      <c r="K14" s="795" t="s">
        <v>446</v>
      </c>
      <c r="L14" s="796" t="s">
        <v>649</v>
      </c>
    </row>
    <row r="15" spans="1:12" ht="15" customHeight="1">
      <c r="A15" s="857">
        <f t="shared" si="4"/>
        <v>4</v>
      </c>
      <c r="B15" s="859" t="s">
        <v>313</v>
      </c>
      <c r="C15" s="878">
        <v>4</v>
      </c>
      <c r="D15" s="535">
        <v>1.424</v>
      </c>
      <c r="E15" s="877">
        <f t="shared" si="0"/>
        <v>5.696</v>
      </c>
      <c r="F15" s="80">
        <v>100</v>
      </c>
      <c r="G15" s="535">
        <v>0.21</v>
      </c>
      <c r="H15" s="877">
        <f t="shared" si="2"/>
        <v>21</v>
      </c>
      <c r="I15" s="858">
        <f t="shared" si="3"/>
        <v>0.104</v>
      </c>
      <c r="J15" s="871">
        <f t="shared" si="1"/>
        <v>26.695999999999998</v>
      </c>
      <c r="K15" s="795" t="s">
        <v>446</v>
      </c>
      <c r="L15" s="796"/>
    </row>
    <row r="16" spans="1:12" ht="15" customHeight="1">
      <c r="A16" s="857">
        <f t="shared" si="4"/>
        <v>5</v>
      </c>
      <c r="B16" s="859" t="s">
        <v>613</v>
      </c>
      <c r="C16" s="878">
        <v>1.2</v>
      </c>
      <c r="D16" s="535">
        <v>1.424</v>
      </c>
      <c r="E16" s="877">
        <f t="shared" si="0"/>
        <v>1.7087999999999999</v>
      </c>
      <c r="F16" s="80">
        <v>120</v>
      </c>
      <c r="G16" s="535">
        <v>0.21</v>
      </c>
      <c r="H16" s="877">
        <f t="shared" si="2"/>
        <v>25.2</v>
      </c>
      <c r="I16" s="858">
        <f t="shared" si="3"/>
        <v>0.1212</v>
      </c>
      <c r="J16" s="871">
        <f t="shared" si="1"/>
        <v>26.9088</v>
      </c>
      <c r="K16" s="795" t="s">
        <v>712</v>
      </c>
      <c r="L16" s="796"/>
    </row>
    <row r="17" spans="1:12" ht="15" customHeight="1">
      <c r="A17" s="857">
        <f t="shared" si="4"/>
        <v>6</v>
      </c>
      <c r="B17" s="860" t="s">
        <v>55</v>
      </c>
      <c r="C17" s="878">
        <v>1</v>
      </c>
      <c r="D17" s="535">
        <v>1.424</v>
      </c>
      <c r="E17" s="877">
        <f t="shared" si="0"/>
        <v>1.424</v>
      </c>
      <c r="F17" s="80"/>
      <c r="G17" s="535">
        <v>0.21</v>
      </c>
      <c r="H17" s="877">
        <f t="shared" si="2"/>
        <v>0</v>
      </c>
      <c r="I17" s="858">
        <f t="shared" si="3"/>
        <v>0.001</v>
      </c>
      <c r="J17" s="871">
        <f aca="true" t="shared" si="5" ref="J17:J19">E17+H17</f>
        <v>1.424</v>
      </c>
      <c r="K17" s="795" t="s">
        <v>708</v>
      </c>
      <c r="L17" s="796"/>
    </row>
    <row r="18" spans="1:12" ht="15" customHeight="1">
      <c r="A18" s="857">
        <f t="shared" si="4"/>
        <v>7</v>
      </c>
      <c r="B18" s="860" t="s">
        <v>30</v>
      </c>
      <c r="C18" s="878">
        <v>1</v>
      </c>
      <c r="D18" s="535">
        <v>1.424</v>
      </c>
      <c r="E18" s="877">
        <f t="shared" si="0"/>
        <v>1.424</v>
      </c>
      <c r="F18" s="80">
        <v>2</v>
      </c>
      <c r="G18" s="535">
        <v>0.21</v>
      </c>
      <c r="H18" s="877">
        <f t="shared" si="2"/>
        <v>0.42</v>
      </c>
      <c r="I18" s="858">
        <f t="shared" si="3"/>
        <v>0.003</v>
      </c>
      <c r="J18" s="871">
        <f t="shared" si="5"/>
        <v>1.8439999999999999</v>
      </c>
      <c r="K18" s="795" t="s">
        <v>446</v>
      </c>
      <c r="L18" s="796"/>
    </row>
    <row r="19" spans="1:11" ht="15" customHeight="1">
      <c r="A19" s="857">
        <f t="shared" si="4"/>
        <v>8</v>
      </c>
      <c r="B19" s="860" t="s">
        <v>77</v>
      </c>
      <c r="C19" s="878"/>
      <c r="D19" s="535">
        <v>1.424</v>
      </c>
      <c r="E19" s="877">
        <f t="shared" si="0"/>
        <v>0</v>
      </c>
      <c r="F19" s="80">
        <v>156</v>
      </c>
      <c r="G19" s="535">
        <v>0.21</v>
      </c>
      <c r="H19" s="877">
        <f t="shared" si="2"/>
        <v>32.76</v>
      </c>
      <c r="I19" s="858">
        <f t="shared" si="3"/>
        <v>0.156</v>
      </c>
      <c r="J19" s="871">
        <f t="shared" si="5"/>
        <v>32.76</v>
      </c>
      <c r="K19" s="794" t="s">
        <v>105</v>
      </c>
    </row>
    <row r="20" spans="1:11" ht="15" customHeight="1">
      <c r="A20" s="857">
        <f t="shared" si="4"/>
        <v>9</v>
      </c>
      <c r="B20" s="860" t="s">
        <v>119</v>
      </c>
      <c r="C20" s="878">
        <v>3</v>
      </c>
      <c r="D20" s="535">
        <v>1.424</v>
      </c>
      <c r="E20" s="877">
        <f t="shared" si="0"/>
        <v>4.272</v>
      </c>
      <c r="F20" s="80">
        <f>10+80</f>
        <v>90</v>
      </c>
      <c r="G20" s="535">
        <v>0.21</v>
      </c>
      <c r="H20" s="877">
        <f t="shared" si="2"/>
        <v>18.9</v>
      </c>
      <c r="I20" s="858">
        <f t="shared" si="3"/>
        <v>0.093</v>
      </c>
      <c r="J20" s="871">
        <f t="shared" si="1"/>
        <v>23.171999999999997</v>
      </c>
      <c r="K20" s="795" t="s">
        <v>349</v>
      </c>
    </row>
    <row r="21" spans="1:11" ht="15" customHeight="1">
      <c r="A21" s="857">
        <f t="shared" si="4"/>
        <v>10</v>
      </c>
      <c r="B21" s="860" t="s">
        <v>597</v>
      </c>
      <c r="C21" s="878">
        <v>60</v>
      </c>
      <c r="D21" s="535">
        <v>1.424</v>
      </c>
      <c r="E21" s="877">
        <f t="shared" si="0"/>
        <v>85.44</v>
      </c>
      <c r="F21" s="80">
        <v>60</v>
      </c>
      <c r="G21" s="535">
        <v>0.21</v>
      </c>
      <c r="H21" s="877">
        <f t="shared" si="2"/>
        <v>12.6</v>
      </c>
      <c r="I21" s="858">
        <f t="shared" si="3"/>
        <v>0.12</v>
      </c>
      <c r="J21" s="871">
        <f t="shared" si="1"/>
        <v>98.03999999999999</v>
      </c>
      <c r="K21" s="794" t="s">
        <v>562</v>
      </c>
    </row>
    <row r="22" spans="1:11" ht="15" customHeight="1">
      <c r="A22" s="857">
        <f t="shared" si="4"/>
        <v>11</v>
      </c>
      <c r="B22" s="860" t="s">
        <v>474</v>
      </c>
      <c r="C22" s="878">
        <v>2.5</v>
      </c>
      <c r="D22" s="535">
        <v>1.424</v>
      </c>
      <c r="E22" s="877">
        <f t="shared" si="0"/>
        <v>3.5599999999999996</v>
      </c>
      <c r="F22" s="80">
        <v>63</v>
      </c>
      <c r="G22" s="535">
        <v>0.21</v>
      </c>
      <c r="H22" s="877">
        <f t="shared" si="2"/>
        <v>13.229999999999999</v>
      </c>
      <c r="I22" s="858">
        <f t="shared" si="3"/>
        <v>0.0655</v>
      </c>
      <c r="J22" s="871">
        <f t="shared" si="1"/>
        <v>16.79</v>
      </c>
      <c r="K22" s="794" t="s">
        <v>446</v>
      </c>
    </row>
    <row r="23" spans="1:11" ht="28.5" customHeight="1">
      <c r="A23" s="857">
        <f t="shared" si="4"/>
        <v>12</v>
      </c>
      <c r="B23" s="860" t="s">
        <v>475</v>
      </c>
      <c r="C23" s="878">
        <v>3</v>
      </c>
      <c r="D23" s="535">
        <v>1.424</v>
      </c>
      <c r="E23" s="877">
        <f t="shared" si="0"/>
        <v>4.272</v>
      </c>
      <c r="F23" s="80">
        <v>3</v>
      </c>
      <c r="G23" s="535">
        <v>0.21</v>
      </c>
      <c r="H23" s="877">
        <f t="shared" si="2"/>
        <v>0.63</v>
      </c>
      <c r="I23" s="858">
        <f t="shared" si="3"/>
        <v>0.006</v>
      </c>
      <c r="J23" s="871">
        <f t="shared" si="1"/>
        <v>4.902</v>
      </c>
      <c r="K23" s="795" t="s">
        <v>717</v>
      </c>
    </row>
    <row r="24" spans="1:11" ht="15" customHeight="1">
      <c r="A24" s="857">
        <f t="shared" si="4"/>
        <v>13</v>
      </c>
      <c r="B24" s="860" t="s">
        <v>476</v>
      </c>
      <c r="C24" s="878">
        <v>2</v>
      </c>
      <c r="D24" s="535">
        <v>1.424</v>
      </c>
      <c r="E24" s="877">
        <f t="shared" si="0"/>
        <v>2.848</v>
      </c>
      <c r="F24" s="80">
        <v>4</v>
      </c>
      <c r="G24" s="535">
        <v>0.21</v>
      </c>
      <c r="H24" s="877">
        <f t="shared" si="2"/>
        <v>0.84</v>
      </c>
      <c r="I24" s="858">
        <f t="shared" si="3"/>
        <v>0.006</v>
      </c>
      <c r="J24" s="871">
        <f t="shared" si="1"/>
        <v>3.6879999999999997</v>
      </c>
      <c r="K24" s="794" t="s">
        <v>477</v>
      </c>
    </row>
    <row r="25" spans="1:11" ht="15" customHeight="1">
      <c r="A25" s="857">
        <f t="shared" si="4"/>
        <v>14</v>
      </c>
      <c r="B25" s="860" t="s">
        <v>58</v>
      </c>
      <c r="C25" s="878">
        <v>5</v>
      </c>
      <c r="D25" s="535">
        <v>1.424</v>
      </c>
      <c r="E25" s="877">
        <f t="shared" si="0"/>
        <v>7.119999999999999</v>
      </c>
      <c r="F25" s="80"/>
      <c r="G25" s="535">
        <v>0.21</v>
      </c>
      <c r="H25" s="877">
        <f t="shared" si="2"/>
        <v>0</v>
      </c>
      <c r="I25" s="858">
        <f t="shared" si="3"/>
        <v>0.005</v>
      </c>
      <c r="J25" s="871">
        <f t="shared" si="1"/>
        <v>7.119999999999999</v>
      </c>
      <c r="K25" s="794" t="s">
        <v>446</v>
      </c>
    </row>
    <row r="26" spans="1:11" ht="15" customHeight="1">
      <c r="A26" s="857">
        <f t="shared" si="4"/>
        <v>15</v>
      </c>
      <c r="B26" s="861" t="s">
        <v>104</v>
      </c>
      <c r="C26" s="878">
        <v>1.5</v>
      </c>
      <c r="D26" s="535">
        <v>1.424</v>
      </c>
      <c r="E26" s="877">
        <f t="shared" si="0"/>
        <v>2.136</v>
      </c>
      <c r="F26" s="80">
        <v>4</v>
      </c>
      <c r="G26" s="535">
        <v>0.21</v>
      </c>
      <c r="H26" s="877">
        <f t="shared" si="2"/>
        <v>0.84</v>
      </c>
      <c r="I26" s="858">
        <f t="shared" si="3"/>
        <v>0.0055</v>
      </c>
      <c r="J26" s="871">
        <f t="shared" si="1"/>
        <v>2.976</v>
      </c>
      <c r="K26" s="795" t="s">
        <v>478</v>
      </c>
    </row>
    <row r="27" spans="1:12" ht="15" customHeight="1">
      <c r="A27" s="857">
        <f t="shared" si="4"/>
        <v>16</v>
      </c>
      <c r="B27" s="861" t="s">
        <v>315</v>
      </c>
      <c r="C27" s="878">
        <v>1.2</v>
      </c>
      <c r="D27" s="535">
        <v>1.424</v>
      </c>
      <c r="E27" s="877">
        <f t="shared" si="0"/>
        <v>1.7087999999999999</v>
      </c>
      <c r="F27" s="80">
        <v>102</v>
      </c>
      <c r="G27" s="535">
        <v>0.21</v>
      </c>
      <c r="H27" s="877">
        <f t="shared" si="2"/>
        <v>21.419999999999998</v>
      </c>
      <c r="I27" s="858">
        <f t="shared" si="3"/>
        <v>0.1032</v>
      </c>
      <c r="J27" s="871">
        <f t="shared" si="1"/>
        <v>23.1288</v>
      </c>
      <c r="K27" s="794" t="s">
        <v>672</v>
      </c>
      <c r="L27" s="20"/>
    </row>
    <row r="28" spans="1:11" ht="27.75" customHeight="1">
      <c r="A28" s="857">
        <f t="shared" si="4"/>
        <v>17</v>
      </c>
      <c r="B28" s="860" t="s">
        <v>359</v>
      </c>
      <c r="C28" s="878">
        <v>6</v>
      </c>
      <c r="D28" s="535">
        <v>1.424</v>
      </c>
      <c r="E28" s="877">
        <f t="shared" si="0"/>
        <v>8.544</v>
      </c>
      <c r="F28" s="80"/>
      <c r="G28" s="535">
        <v>0.21</v>
      </c>
      <c r="H28" s="877">
        <f t="shared" si="2"/>
        <v>0</v>
      </c>
      <c r="I28" s="858">
        <f t="shared" si="3"/>
        <v>0.006</v>
      </c>
      <c r="J28" s="871">
        <f t="shared" si="1"/>
        <v>8.544</v>
      </c>
      <c r="K28" s="795" t="s">
        <v>718</v>
      </c>
    </row>
    <row r="29" spans="1:11" ht="15" customHeight="1">
      <c r="A29" s="857">
        <f t="shared" si="4"/>
        <v>18</v>
      </c>
      <c r="B29" s="861" t="s">
        <v>314</v>
      </c>
      <c r="C29" s="878">
        <v>2</v>
      </c>
      <c r="D29" s="535">
        <v>1.424</v>
      </c>
      <c r="E29" s="877">
        <f t="shared" si="0"/>
        <v>2.848</v>
      </c>
      <c r="F29" s="80">
        <v>64</v>
      </c>
      <c r="G29" s="535">
        <v>0.21</v>
      </c>
      <c r="H29" s="877">
        <f t="shared" si="2"/>
        <v>13.44</v>
      </c>
      <c r="I29" s="858">
        <f t="shared" si="3"/>
        <v>0.066</v>
      </c>
      <c r="J29" s="871">
        <f t="shared" si="1"/>
        <v>16.288</v>
      </c>
      <c r="K29" s="932" t="s">
        <v>673</v>
      </c>
    </row>
    <row r="30" spans="1:11" ht="15" customHeight="1">
      <c r="A30" s="857">
        <f t="shared" si="4"/>
        <v>19</v>
      </c>
      <c r="B30" s="860" t="s">
        <v>491</v>
      </c>
      <c r="C30" s="878"/>
      <c r="D30" s="535">
        <v>1.424</v>
      </c>
      <c r="E30" s="877">
        <f t="shared" si="0"/>
        <v>0</v>
      </c>
      <c r="F30" s="80">
        <v>10</v>
      </c>
      <c r="G30" s="535">
        <v>0.21</v>
      </c>
      <c r="H30" s="877">
        <f t="shared" si="2"/>
        <v>2.1</v>
      </c>
      <c r="I30" s="858">
        <f t="shared" si="3"/>
        <v>0.01</v>
      </c>
      <c r="J30" s="871">
        <f t="shared" si="1"/>
        <v>2.1</v>
      </c>
      <c r="K30" s="795" t="s">
        <v>488</v>
      </c>
    </row>
    <row r="31" spans="1:13" ht="15" customHeight="1">
      <c r="A31" s="857">
        <f t="shared" si="4"/>
        <v>20</v>
      </c>
      <c r="B31" s="860" t="s">
        <v>492</v>
      </c>
      <c r="C31" s="878"/>
      <c r="D31" s="535">
        <v>1.424</v>
      </c>
      <c r="E31" s="877">
        <f t="shared" si="0"/>
        <v>0</v>
      </c>
      <c r="F31" s="80">
        <v>10</v>
      </c>
      <c r="G31" s="535">
        <v>0.21</v>
      </c>
      <c r="H31" s="877">
        <f t="shared" si="2"/>
        <v>2.1</v>
      </c>
      <c r="I31" s="858">
        <f t="shared" si="3"/>
        <v>0.01</v>
      </c>
      <c r="J31" s="871">
        <f t="shared" si="1"/>
        <v>2.1</v>
      </c>
      <c r="K31" s="794" t="s">
        <v>488</v>
      </c>
      <c r="L31" s="20"/>
      <c r="M31" s="20"/>
    </row>
    <row r="32" spans="1:13" ht="15" customHeight="1">
      <c r="A32" s="857">
        <f t="shared" si="4"/>
        <v>21</v>
      </c>
      <c r="B32" s="860" t="s">
        <v>495</v>
      </c>
      <c r="C32" s="878">
        <v>5</v>
      </c>
      <c r="D32" s="535">
        <v>1.424</v>
      </c>
      <c r="E32" s="877">
        <f t="shared" si="0"/>
        <v>7.119999999999999</v>
      </c>
      <c r="F32" s="80">
        <v>7</v>
      </c>
      <c r="G32" s="535">
        <v>0.21</v>
      </c>
      <c r="H32" s="877">
        <f t="shared" si="2"/>
        <v>1.47</v>
      </c>
      <c r="I32" s="858">
        <f aca="true" t="shared" si="6" ref="I32">(C32+F32)/1000</f>
        <v>0.012</v>
      </c>
      <c r="J32" s="871">
        <f aca="true" t="shared" si="7" ref="J32">E32+H32</f>
        <v>8.59</v>
      </c>
      <c r="K32" s="794" t="s">
        <v>488</v>
      </c>
      <c r="L32" s="20"/>
      <c r="M32" s="20"/>
    </row>
    <row r="33" spans="1:11" ht="15" customHeight="1">
      <c r="A33" s="857">
        <f t="shared" si="4"/>
        <v>22</v>
      </c>
      <c r="B33" s="860" t="s">
        <v>60</v>
      </c>
      <c r="C33" s="878"/>
      <c r="D33" s="535">
        <v>1.424</v>
      </c>
      <c r="E33" s="877">
        <f t="shared" si="0"/>
        <v>0</v>
      </c>
      <c r="F33" s="80">
        <v>2</v>
      </c>
      <c r="G33" s="535">
        <v>0.21</v>
      </c>
      <c r="H33" s="877">
        <f t="shared" si="2"/>
        <v>0.42</v>
      </c>
      <c r="I33" s="858">
        <f t="shared" si="3"/>
        <v>0.002</v>
      </c>
      <c r="J33" s="871">
        <f t="shared" si="1"/>
        <v>0.42</v>
      </c>
      <c r="K33" s="795" t="s">
        <v>488</v>
      </c>
    </row>
    <row r="34" spans="1:11" ht="15" customHeight="1">
      <c r="A34" s="857">
        <f t="shared" si="4"/>
        <v>23</v>
      </c>
      <c r="B34" s="860" t="s">
        <v>316</v>
      </c>
      <c r="C34" s="878">
        <v>7</v>
      </c>
      <c r="D34" s="535">
        <v>1.424</v>
      </c>
      <c r="E34" s="877">
        <f t="shared" si="0"/>
        <v>9.968</v>
      </c>
      <c r="F34" s="80">
        <v>182</v>
      </c>
      <c r="G34" s="535">
        <v>0.21</v>
      </c>
      <c r="H34" s="877">
        <f t="shared" si="2"/>
        <v>38.22</v>
      </c>
      <c r="I34" s="858">
        <f t="shared" si="3"/>
        <v>0.189</v>
      </c>
      <c r="J34" s="871">
        <f t="shared" si="1"/>
        <v>48.188</v>
      </c>
      <c r="K34" s="794" t="s">
        <v>614</v>
      </c>
    </row>
    <row r="35" spans="1:11" ht="15" customHeight="1">
      <c r="A35" s="857">
        <f t="shared" si="4"/>
        <v>24</v>
      </c>
      <c r="B35" s="860" t="s">
        <v>496</v>
      </c>
      <c r="C35" s="878"/>
      <c r="D35" s="535">
        <v>1.424</v>
      </c>
      <c r="E35" s="877">
        <f t="shared" si="0"/>
        <v>0</v>
      </c>
      <c r="F35" s="80">
        <v>15</v>
      </c>
      <c r="G35" s="535">
        <v>0.21</v>
      </c>
      <c r="H35" s="877">
        <f t="shared" si="2"/>
        <v>3.15</v>
      </c>
      <c r="I35" s="858">
        <f t="shared" si="3"/>
        <v>0.015</v>
      </c>
      <c r="J35" s="871">
        <f t="shared" si="1"/>
        <v>3.15</v>
      </c>
      <c r="K35" s="795" t="s">
        <v>488</v>
      </c>
    </row>
    <row r="36" spans="1:11" ht="15" customHeight="1">
      <c r="A36" s="857">
        <f t="shared" si="4"/>
        <v>25</v>
      </c>
      <c r="B36" s="860" t="s">
        <v>497</v>
      </c>
      <c r="C36" s="878"/>
      <c r="D36" s="535">
        <v>1.424</v>
      </c>
      <c r="E36" s="877">
        <f t="shared" si="0"/>
        <v>0</v>
      </c>
      <c r="F36" s="80">
        <v>93</v>
      </c>
      <c r="G36" s="535">
        <v>0.21</v>
      </c>
      <c r="H36" s="877">
        <f t="shared" si="2"/>
        <v>19.529999999999998</v>
      </c>
      <c r="I36" s="858">
        <f t="shared" si="3"/>
        <v>0.093</v>
      </c>
      <c r="J36" s="871">
        <f t="shared" si="1"/>
        <v>19.529999999999998</v>
      </c>
      <c r="K36" s="794" t="s">
        <v>488</v>
      </c>
    </row>
    <row r="37" spans="1:13" s="20" customFormat="1" ht="15" customHeight="1">
      <c r="A37" s="857">
        <f t="shared" si="4"/>
        <v>26</v>
      </c>
      <c r="B37" s="860" t="s">
        <v>317</v>
      </c>
      <c r="C37" s="878">
        <v>10</v>
      </c>
      <c r="D37" s="535">
        <v>1.424</v>
      </c>
      <c r="E37" s="877">
        <f t="shared" si="0"/>
        <v>14.239999999999998</v>
      </c>
      <c r="F37" s="80">
        <v>10</v>
      </c>
      <c r="G37" s="535">
        <v>0.21</v>
      </c>
      <c r="H37" s="877">
        <f t="shared" si="2"/>
        <v>2.1</v>
      </c>
      <c r="I37" s="858">
        <f t="shared" si="3"/>
        <v>0.02</v>
      </c>
      <c r="J37" s="871">
        <f t="shared" si="1"/>
        <v>16.34</v>
      </c>
      <c r="K37" s="795" t="s">
        <v>488</v>
      </c>
      <c r="L37" t="s">
        <v>649</v>
      </c>
      <c r="M37"/>
    </row>
    <row r="38" spans="1:13" s="20" customFormat="1" ht="15" customHeight="1">
      <c r="A38" s="857">
        <f t="shared" si="4"/>
        <v>27</v>
      </c>
      <c r="B38" s="860" t="s">
        <v>501</v>
      </c>
      <c r="C38" s="878">
        <v>2</v>
      </c>
      <c r="D38" s="535">
        <v>1.424</v>
      </c>
      <c r="E38" s="877">
        <f t="shared" si="0"/>
        <v>2.848</v>
      </c>
      <c r="F38" s="80">
        <v>2</v>
      </c>
      <c r="G38" s="535">
        <v>0.21</v>
      </c>
      <c r="H38" s="877">
        <f t="shared" si="2"/>
        <v>0.42</v>
      </c>
      <c r="I38" s="858">
        <f t="shared" si="3"/>
        <v>0.004</v>
      </c>
      <c r="J38" s="871">
        <f t="shared" si="1"/>
        <v>3.268</v>
      </c>
      <c r="K38" s="794" t="s">
        <v>502</v>
      </c>
      <c r="L38"/>
      <c r="M38"/>
    </row>
    <row r="39" spans="1:13" s="20" customFormat="1" ht="15" customHeight="1">
      <c r="A39" s="857">
        <f t="shared" si="4"/>
        <v>28</v>
      </c>
      <c r="B39" s="860" t="s">
        <v>487</v>
      </c>
      <c r="C39" s="878"/>
      <c r="D39" s="535">
        <v>1.424</v>
      </c>
      <c r="E39" s="877">
        <f t="shared" si="0"/>
        <v>0</v>
      </c>
      <c r="F39" s="80">
        <v>50</v>
      </c>
      <c r="G39" s="535">
        <v>0.21</v>
      </c>
      <c r="H39" s="877">
        <f t="shared" si="2"/>
        <v>10.5</v>
      </c>
      <c r="I39" s="858">
        <f t="shared" si="3"/>
        <v>0.05</v>
      </c>
      <c r="J39" s="871">
        <f t="shared" si="1"/>
        <v>10.5</v>
      </c>
      <c r="K39" s="795" t="s">
        <v>488</v>
      </c>
      <c r="L39"/>
      <c r="M39"/>
    </row>
    <row r="40" spans="1:11" ht="15" customHeight="1">
      <c r="A40" s="857">
        <f t="shared" si="4"/>
        <v>29</v>
      </c>
      <c r="B40" s="860" t="s">
        <v>489</v>
      </c>
      <c r="C40" s="878">
        <v>2</v>
      </c>
      <c r="D40" s="535">
        <v>1.424</v>
      </c>
      <c r="E40" s="877">
        <f t="shared" si="0"/>
        <v>2.848</v>
      </c>
      <c r="F40" s="80">
        <v>50</v>
      </c>
      <c r="G40" s="535">
        <v>0.21</v>
      </c>
      <c r="H40" s="877">
        <f t="shared" si="2"/>
        <v>10.5</v>
      </c>
      <c r="I40" s="858">
        <f t="shared" si="3"/>
        <v>0.052</v>
      </c>
      <c r="J40" s="871">
        <f t="shared" si="1"/>
        <v>13.347999999999999</v>
      </c>
      <c r="K40" s="794" t="s">
        <v>488</v>
      </c>
    </row>
    <row r="41" spans="1:11" ht="15" customHeight="1">
      <c r="A41" s="857">
        <f t="shared" si="4"/>
        <v>30</v>
      </c>
      <c r="B41" s="860" t="s">
        <v>504</v>
      </c>
      <c r="C41" s="878">
        <v>3</v>
      </c>
      <c r="D41" s="535">
        <v>1.424</v>
      </c>
      <c r="E41" s="877">
        <f t="shared" si="0"/>
        <v>4.272</v>
      </c>
      <c r="F41" s="80">
        <v>3</v>
      </c>
      <c r="G41" s="535">
        <v>0.21</v>
      </c>
      <c r="H41" s="877">
        <f t="shared" si="2"/>
        <v>0.63</v>
      </c>
      <c r="I41" s="858">
        <f t="shared" si="3"/>
        <v>0.006</v>
      </c>
      <c r="J41" s="871">
        <f t="shared" si="1"/>
        <v>4.902</v>
      </c>
      <c r="K41" s="794" t="s">
        <v>424</v>
      </c>
    </row>
    <row r="42" spans="1:11" ht="15" customHeight="1">
      <c r="A42" s="857">
        <f t="shared" si="4"/>
        <v>31</v>
      </c>
      <c r="B42" s="862" t="s">
        <v>418</v>
      </c>
      <c r="C42" s="878">
        <v>10</v>
      </c>
      <c r="D42" s="535">
        <v>1.424</v>
      </c>
      <c r="E42" s="877">
        <f t="shared" si="0"/>
        <v>14.239999999999998</v>
      </c>
      <c r="F42" s="80">
        <v>30</v>
      </c>
      <c r="G42" s="535">
        <v>0.21</v>
      </c>
      <c r="H42" s="877">
        <f t="shared" si="2"/>
        <v>6.3</v>
      </c>
      <c r="I42" s="858">
        <f t="shared" si="3"/>
        <v>0.04</v>
      </c>
      <c r="J42" s="871">
        <f t="shared" si="1"/>
        <v>20.54</v>
      </c>
      <c r="K42" s="794" t="s">
        <v>446</v>
      </c>
    </row>
    <row r="43" spans="1:11" ht="15" customHeight="1">
      <c r="A43" s="857">
        <f t="shared" si="4"/>
        <v>32</v>
      </c>
      <c r="B43" s="860" t="s">
        <v>83</v>
      </c>
      <c r="C43" s="878">
        <v>20</v>
      </c>
      <c r="D43" s="535">
        <v>1.424</v>
      </c>
      <c r="E43" s="877">
        <f t="shared" si="0"/>
        <v>28.479999999999997</v>
      </c>
      <c r="F43" s="80">
        <v>20</v>
      </c>
      <c r="G43" s="535">
        <v>0.21</v>
      </c>
      <c r="H43" s="877">
        <f t="shared" si="2"/>
        <v>4.2</v>
      </c>
      <c r="I43" s="858">
        <f t="shared" si="3"/>
        <v>0.04</v>
      </c>
      <c r="J43" s="871">
        <f t="shared" si="1"/>
        <v>32.68</v>
      </c>
      <c r="K43" s="794" t="s">
        <v>581</v>
      </c>
    </row>
    <row r="44" spans="1:11" ht="15" customHeight="1">
      <c r="A44" s="857">
        <f t="shared" si="4"/>
        <v>33</v>
      </c>
      <c r="B44" s="860" t="s">
        <v>318</v>
      </c>
      <c r="C44" s="878">
        <v>55</v>
      </c>
      <c r="D44" s="535">
        <v>1.424</v>
      </c>
      <c r="E44" s="877">
        <f t="shared" si="0"/>
        <v>78.32</v>
      </c>
      <c r="F44" s="80">
        <v>58</v>
      </c>
      <c r="G44" s="535">
        <v>0.21</v>
      </c>
      <c r="H44" s="877">
        <f t="shared" si="2"/>
        <v>12.18</v>
      </c>
      <c r="I44" s="858">
        <f t="shared" si="3"/>
        <v>0.113</v>
      </c>
      <c r="J44" s="871">
        <f t="shared" si="1"/>
        <v>90.5</v>
      </c>
      <c r="K44" s="794" t="s">
        <v>446</v>
      </c>
    </row>
    <row r="45" spans="1:11" ht="15" customHeight="1">
      <c r="A45" s="857">
        <f t="shared" si="4"/>
        <v>34</v>
      </c>
      <c r="B45" s="860" t="s">
        <v>512</v>
      </c>
      <c r="C45" s="878">
        <v>1.2</v>
      </c>
      <c r="D45" s="535">
        <v>1.424</v>
      </c>
      <c r="E45" s="877">
        <f t="shared" si="0"/>
        <v>1.7087999999999999</v>
      </c>
      <c r="F45" s="80">
        <v>60</v>
      </c>
      <c r="G45" s="535">
        <v>0.21</v>
      </c>
      <c r="H45" s="877">
        <f t="shared" si="2"/>
        <v>12.6</v>
      </c>
      <c r="I45" s="858">
        <f t="shared" si="3"/>
        <v>0.061200000000000004</v>
      </c>
      <c r="J45" s="871">
        <f t="shared" si="1"/>
        <v>14.3088</v>
      </c>
      <c r="K45" s="794" t="s">
        <v>446</v>
      </c>
    </row>
    <row r="46" spans="1:11" ht="15" customHeight="1">
      <c r="A46" s="857">
        <f t="shared" si="4"/>
        <v>35</v>
      </c>
      <c r="B46" s="860" t="s">
        <v>320</v>
      </c>
      <c r="C46" s="878">
        <v>1</v>
      </c>
      <c r="D46" s="535">
        <v>1.424</v>
      </c>
      <c r="E46" s="877">
        <f t="shared" si="0"/>
        <v>1.424</v>
      </c>
      <c r="F46" s="80"/>
      <c r="G46" s="535">
        <v>0.21</v>
      </c>
      <c r="H46" s="877">
        <f t="shared" si="2"/>
        <v>0</v>
      </c>
      <c r="I46" s="858">
        <f t="shared" si="3"/>
        <v>0.001</v>
      </c>
      <c r="J46" s="871">
        <f t="shared" si="1"/>
        <v>1.424</v>
      </c>
      <c r="K46" s="794" t="s">
        <v>521</v>
      </c>
    </row>
    <row r="47" spans="1:11" ht="15" customHeight="1">
      <c r="A47" s="857">
        <f t="shared" si="4"/>
        <v>36</v>
      </c>
      <c r="B47" s="860" t="s">
        <v>321</v>
      </c>
      <c r="C47" s="878">
        <v>1.5</v>
      </c>
      <c r="D47" s="535">
        <v>1.424</v>
      </c>
      <c r="E47" s="877">
        <f t="shared" si="0"/>
        <v>2.136</v>
      </c>
      <c r="F47" s="80">
        <v>90</v>
      </c>
      <c r="G47" s="535">
        <v>0.21</v>
      </c>
      <c r="H47" s="877">
        <f t="shared" si="2"/>
        <v>18.9</v>
      </c>
      <c r="I47" s="858">
        <f t="shared" si="3"/>
        <v>0.0915</v>
      </c>
      <c r="J47" s="871">
        <f t="shared" si="1"/>
        <v>21.035999999999998</v>
      </c>
      <c r="K47" s="794" t="s">
        <v>446</v>
      </c>
    </row>
    <row r="48" spans="1:11" ht="15" customHeight="1">
      <c r="A48" s="857">
        <f t="shared" si="4"/>
        <v>37</v>
      </c>
      <c r="B48" s="860" t="s">
        <v>519</v>
      </c>
      <c r="C48" s="878">
        <v>7</v>
      </c>
      <c r="D48" s="535">
        <v>1.424</v>
      </c>
      <c r="E48" s="877">
        <f t="shared" si="0"/>
        <v>9.968</v>
      </c>
      <c r="F48" s="80">
        <v>7</v>
      </c>
      <c r="G48" s="535">
        <v>0.21</v>
      </c>
      <c r="H48" s="877">
        <f t="shared" si="2"/>
        <v>1.47</v>
      </c>
      <c r="I48" s="858">
        <f t="shared" si="3"/>
        <v>0.014</v>
      </c>
      <c r="J48" s="871">
        <f t="shared" si="1"/>
        <v>11.438</v>
      </c>
      <c r="K48" s="794" t="s">
        <v>488</v>
      </c>
    </row>
    <row r="49" spans="1:11" ht="15" customHeight="1">
      <c r="A49" s="857">
        <f t="shared" si="4"/>
        <v>38</v>
      </c>
      <c r="B49" s="860" t="s">
        <v>322</v>
      </c>
      <c r="C49" s="878">
        <v>1.2</v>
      </c>
      <c r="D49" s="535">
        <v>1.424</v>
      </c>
      <c r="E49" s="877">
        <f t="shared" si="0"/>
        <v>1.7087999999999999</v>
      </c>
      <c r="F49" s="80">
        <v>66</v>
      </c>
      <c r="G49" s="535">
        <v>0.21</v>
      </c>
      <c r="H49" s="877">
        <f t="shared" si="2"/>
        <v>13.86</v>
      </c>
      <c r="I49" s="858">
        <f t="shared" si="3"/>
        <v>0.06720000000000001</v>
      </c>
      <c r="J49" s="871">
        <f t="shared" si="1"/>
        <v>15.5688</v>
      </c>
      <c r="K49" s="794" t="s">
        <v>446</v>
      </c>
    </row>
    <row r="50" spans="1:11" ht="15" customHeight="1">
      <c r="A50" s="857">
        <f t="shared" si="4"/>
        <v>39</v>
      </c>
      <c r="B50" s="860" t="s">
        <v>409</v>
      </c>
      <c r="C50" s="878"/>
      <c r="D50" s="535">
        <v>1.424</v>
      </c>
      <c r="E50" s="877">
        <f t="shared" si="0"/>
        <v>0</v>
      </c>
      <c r="F50" s="80">
        <v>30</v>
      </c>
      <c r="G50" s="535">
        <v>0.21</v>
      </c>
      <c r="H50" s="877">
        <f t="shared" si="2"/>
        <v>6.3</v>
      </c>
      <c r="I50" s="858">
        <f t="shared" si="3"/>
        <v>0.03</v>
      </c>
      <c r="J50" s="871">
        <f t="shared" si="1"/>
        <v>6.3</v>
      </c>
      <c r="K50" s="795" t="s">
        <v>410</v>
      </c>
    </row>
    <row r="51" spans="1:11" ht="15" customHeight="1">
      <c r="A51" s="857">
        <f t="shared" si="4"/>
        <v>40</v>
      </c>
      <c r="B51" s="860" t="s">
        <v>120</v>
      </c>
      <c r="C51" s="878">
        <v>1</v>
      </c>
      <c r="D51" s="535">
        <v>1.424</v>
      </c>
      <c r="E51" s="877">
        <f t="shared" si="0"/>
        <v>1.424</v>
      </c>
      <c r="F51" s="80">
        <v>10</v>
      </c>
      <c r="G51" s="535">
        <v>0.21</v>
      </c>
      <c r="H51" s="877">
        <f t="shared" si="2"/>
        <v>2.1</v>
      </c>
      <c r="I51" s="858">
        <f t="shared" si="3"/>
        <v>0.011</v>
      </c>
      <c r="J51" s="871">
        <f t="shared" si="1"/>
        <v>3.524</v>
      </c>
      <c r="K51" s="794" t="s">
        <v>405</v>
      </c>
    </row>
    <row r="52" spans="1:11" ht="15" customHeight="1">
      <c r="A52" s="857">
        <f t="shared" si="4"/>
        <v>41</v>
      </c>
      <c r="B52" s="860" t="s">
        <v>417</v>
      </c>
      <c r="C52" s="878">
        <v>1.2</v>
      </c>
      <c r="D52" s="535">
        <v>1.424</v>
      </c>
      <c r="E52" s="877">
        <f t="shared" si="0"/>
        <v>1.7087999999999999</v>
      </c>
      <c r="F52" s="80">
        <v>104</v>
      </c>
      <c r="G52" s="535">
        <v>0.21</v>
      </c>
      <c r="H52" s="877">
        <f t="shared" si="2"/>
        <v>21.84</v>
      </c>
      <c r="I52" s="858">
        <f t="shared" si="3"/>
        <v>0.1052</v>
      </c>
      <c r="J52" s="871">
        <f t="shared" si="1"/>
        <v>23.5488</v>
      </c>
      <c r="K52" s="794" t="s">
        <v>105</v>
      </c>
    </row>
    <row r="53" spans="1:11" ht="15" customHeight="1">
      <c r="A53" s="857">
        <f t="shared" si="4"/>
        <v>42</v>
      </c>
      <c r="B53" s="860" t="s">
        <v>62</v>
      </c>
      <c r="C53" s="878">
        <v>5</v>
      </c>
      <c r="D53" s="535">
        <v>1.424</v>
      </c>
      <c r="E53" s="877">
        <f t="shared" si="0"/>
        <v>7.119999999999999</v>
      </c>
      <c r="F53" s="80">
        <v>129</v>
      </c>
      <c r="G53" s="535">
        <v>0.21</v>
      </c>
      <c r="H53" s="877">
        <f t="shared" si="2"/>
        <v>27.09</v>
      </c>
      <c r="I53" s="858">
        <f t="shared" si="3"/>
        <v>0.134</v>
      </c>
      <c r="J53" s="871">
        <f t="shared" si="1"/>
        <v>34.21</v>
      </c>
      <c r="K53" s="794" t="s">
        <v>105</v>
      </c>
    </row>
    <row r="54" spans="1:11" ht="15" customHeight="1">
      <c r="A54" s="857">
        <f t="shared" si="4"/>
        <v>43</v>
      </c>
      <c r="B54" s="860" t="s">
        <v>415</v>
      </c>
      <c r="C54" s="878">
        <v>4.5</v>
      </c>
      <c r="D54" s="535">
        <v>1.424</v>
      </c>
      <c r="E54" s="877">
        <f t="shared" si="0"/>
        <v>6.4079999999999995</v>
      </c>
      <c r="F54" s="80">
        <v>213</v>
      </c>
      <c r="G54" s="535">
        <v>0.21</v>
      </c>
      <c r="H54" s="877">
        <f t="shared" si="2"/>
        <v>44.73</v>
      </c>
      <c r="I54" s="858">
        <f t="shared" si="3"/>
        <v>0.2175</v>
      </c>
      <c r="J54" s="871">
        <f t="shared" si="1"/>
        <v>51.138</v>
      </c>
      <c r="K54" s="794" t="s">
        <v>105</v>
      </c>
    </row>
    <row r="55" spans="1:11" ht="15" customHeight="1">
      <c r="A55" s="857">
        <f t="shared" si="4"/>
        <v>44</v>
      </c>
      <c r="B55" s="860" t="s">
        <v>324</v>
      </c>
      <c r="C55" s="878">
        <v>4.5</v>
      </c>
      <c r="D55" s="535">
        <v>1.424</v>
      </c>
      <c r="E55" s="877">
        <f t="shared" si="0"/>
        <v>6.4079999999999995</v>
      </c>
      <c r="F55" s="80">
        <v>190</v>
      </c>
      <c r="G55" s="535">
        <v>0.21</v>
      </c>
      <c r="H55" s="877">
        <f t="shared" si="2"/>
        <v>39.9</v>
      </c>
      <c r="I55" s="858">
        <f t="shared" si="3"/>
        <v>0.1945</v>
      </c>
      <c r="J55" s="871">
        <f t="shared" si="1"/>
        <v>46.308</v>
      </c>
      <c r="K55" s="794" t="s">
        <v>713</v>
      </c>
    </row>
    <row r="56" spans="1:11" ht="15" customHeight="1">
      <c r="A56" s="857">
        <f t="shared" si="4"/>
        <v>45</v>
      </c>
      <c r="B56" s="860" t="s">
        <v>710</v>
      </c>
      <c r="C56" s="878">
        <v>1</v>
      </c>
      <c r="D56" s="535">
        <v>1.424</v>
      </c>
      <c r="E56" s="877">
        <f aca="true" t="shared" si="8" ref="E56">C56*D56</f>
        <v>1.424</v>
      </c>
      <c r="F56" s="80">
        <v>5</v>
      </c>
      <c r="G56" s="535">
        <v>0.21</v>
      </c>
      <c r="H56" s="877">
        <f aca="true" t="shared" si="9" ref="H56">F56*G56</f>
        <v>1.05</v>
      </c>
      <c r="I56" s="858">
        <f t="shared" si="3"/>
        <v>0.006</v>
      </c>
      <c r="J56" s="871">
        <f aca="true" t="shared" si="10" ref="J56">E56+H56</f>
        <v>2.474</v>
      </c>
      <c r="K56" s="794" t="s">
        <v>711</v>
      </c>
    </row>
    <row r="57" spans="1:11" ht="15" customHeight="1">
      <c r="A57" s="857">
        <f t="shared" si="4"/>
        <v>46</v>
      </c>
      <c r="B57" s="860" t="s">
        <v>538</v>
      </c>
      <c r="C57" s="878">
        <v>2</v>
      </c>
      <c r="D57" s="535">
        <v>1.424</v>
      </c>
      <c r="E57" s="877">
        <f t="shared" si="0"/>
        <v>2.848</v>
      </c>
      <c r="F57" s="80">
        <v>20</v>
      </c>
      <c r="G57" s="535">
        <v>0.21</v>
      </c>
      <c r="H57" s="877">
        <f t="shared" si="2"/>
        <v>4.2</v>
      </c>
      <c r="I57" s="858">
        <f t="shared" si="3"/>
        <v>0.022</v>
      </c>
      <c r="J57" s="871">
        <f t="shared" si="1"/>
        <v>7.048</v>
      </c>
      <c r="K57" s="794" t="s">
        <v>709</v>
      </c>
    </row>
    <row r="58" spans="1:11" ht="15" customHeight="1">
      <c r="A58" s="857">
        <f t="shared" si="4"/>
        <v>47</v>
      </c>
      <c r="B58" s="860" t="s">
        <v>539</v>
      </c>
      <c r="C58" s="878">
        <v>2</v>
      </c>
      <c r="D58" s="535">
        <v>1.424</v>
      </c>
      <c r="E58" s="877">
        <f t="shared" si="0"/>
        <v>2.848</v>
      </c>
      <c r="F58" s="80">
        <v>30</v>
      </c>
      <c r="G58" s="535">
        <v>0.21</v>
      </c>
      <c r="H58" s="877">
        <f t="shared" si="2"/>
        <v>6.3</v>
      </c>
      <c r="I58" s="858">
        <f t="shared" si="3"/>
        <v>0.032</v>
      </c>
      <c r="J58" s="871">
        <f t="shared" si="1"/>
        <v>9.148</v>
      </c>
      <c r="K58" s="794" t="s">
        <v>540</v>
      </c>
    </row>
    <row r="59" spans="1:11" ht="15" customHeight="1">
      <c r="A59" s="857">
        <f t="shared" si="4"/>
        <v>48</v>
      </c>
      <c r="B59" s="860" t="s">
        <v>542</v>
      </c>
      <c r="C59" s="878"/>
      <c r="D59" s="535">
        <v>1.424</v>
      </c>
      <c r="E59" s="877">
        <f t="shared" si="0"/>
        <v>0</v>
      </c>
      <c r="F59" s="80">
        <v>30</v>
      </c>
      <c r="G59" s="535">
        <v>0.21</v>
      </c>
      <c r="H59" s="877">
        <f t="shared" si="2"/>
        <v>6.3</v>
      </c>
      <c r="I59" s="858">
        <f t="shared" si="3"/>
        <v>0.03</v>
      </c>
      <c r="J59" s="871">
        <f t="shared" si="1"/>
        <v>6.3</v>
      </c>
      <c r="K59" s="794" t="s">
        <v>709</v>
      </c>
    </row>
    <row r="60" spans="1:11" ht="15" customHeight="1">
      <c r="A60" s="857">
        <f t="shared" si="4"/>
        <v>49</v>
      </c>
      <c r="B60" s="860" t="s">
        <v>325</v>
      </c>
      <c r="C60" s="878">
        <v>2</v>
      </c>
      <c r="D60" s="535">
        <v>1.424</v>
      </c>
      <c r="E60" s="877">
        <f t="shared" si="0"/>
        <v>2.848</v>
      </c>
      <c r="F60" s="80"/>
      <c r="G60" s="535">
        <v>0.21</v>
      </c>
      <c r="H60" s="877">
        <f t="shared" si="2"/>
        <v>0</v>
      </c>
      <c r="I60" s="858">
        <f t="shared" si="3"/>
        <v>0.002</v>
      </c>
      <c r="J60" s="871">
        <f t="shared" si="1"/>
        <v>2.848</v>
      </c>
      <c r="K60" s="794" t="s">
        <v>652</v>
      </c>
    </row>
    <row r="61" spans="1:11" ht="15" customHeight="1">
      <c r="A61" s="857">
        <f t="shared" si="4"/>
        <v>50</v>
      </c>
      <c r="B61" s="860" t="s">
        <v>543</v>
      </c>
      <c r="C61" s="878">
        <v>3</v>
      </c>
      <c r="D61" s="535">
        <v>1.424</v>
      </c>
      <c r="E61" s="877">
        <f t="shared" si="0"/>
        <v>4.272</v>
      </c>
      <c r="F61" s="80">
        <v>80</v>
      </c>
      <c r="G61" s="535">
        <v>0.21</v>
      </c>
      <c r="H61" s="877">
        <f t="shared" si="2"/>
        <v>16.8</v>
      </c>
      <c r="I61" s="858">
        <f t="shared" si="3"/>
        <v>0.083</v>
      </c>
      <c r="J61" s="871">
        <f t="shared" si="1"/>
        <v>21.072000000000003</v>
      </c>
      <c r="K61" s="794" t="s">
        <v>446</v>
      </c>
    </row>
    <row r="62" spans="1:11" ht="15" customHeight="1">
      <c r="A62" s="857">
        <f t="shared" si="4"/>
        <v>51</v>
      </c>
      <c r="B62" s="860" t="s">
        <v>63</v>
      </c>
      <c r="C62" s="878">
        <f>20+10</f>
        <v>30</v>
      </c>
      <c r="D62" s="535">
        <v>1.424</v>
      </c>
      <c r="E62" s="877">
        <f t="shared" si="0"/>
        <v>42.72</v>
      </c>
      <c r="F62" s="80"/>
      <c r="G62" s="535">
        <v>0.21</v>
      </c>
      <c r="H62" s="877">
        <f t="shared" si="2"/>
        <v>0</v>
      </c>
      <c r="I62" s="858">
        <f t="shared" si="3"/>
        <v>0.03</v>
      </c>
      <c r="J62" s="871">
        <f t="shared" si="1"/>
        <v>42.72</v>
      </c>
      <c r="K62" s="794" t="s">
        <v>595</v>
      </c>
    </row>
    <row r="63" spans="1:11" ht="15" customHeight="1">
      <c r="A63" s="857">
        <f t="shared" si="4"/>
        <v>52</v>
      </c>
      <c r="B63" s="860" t="s">
        <v>65</v>
      </c>
      <c r="C63" s="878">
        <v>30</v>
      </c>
      <c r="D63" s="535">
        <v>1.424</v>
      </c>
      <c r="E63" s="877">
        <f t="shared" si="0"/>
        <v>42.72</v>
      </c>
      <c r="F63" s="80"/>
      <c r="G63" s="535">
        <v>0.21</v>
      </c>
      <c r="H63" s="877">
        <f t="shared" si="2"/>
        <v>0</v>
      </c>
      <c r="I63" s="858">
        <f t="shared" si="3"/>
        <v>0.03</v>
      </c>
      <c r="J63" s="871">
        <f t="shared" si="1"/>
        <v>42.72</v>
      </c>
      <c r="K63" s="794" t="s">
        <v>595</v>
      </c>
    </row>
    <row r="64" spans="1:11" ht="15" customHeight="1">
      <c r="A64" s="857">
        <f t="shared" si="4"/>
        <v>53</v>
      </c>
      <c r="B64" s="860" t="s">
        <v>264</v>
      </c>
      <c r="C64" s="878">
        <v>5</v>
      </c>
      <c r="D64" s="535">
        <v>1.424</v>
      </c>
      <c r="E64" s="877">
        <f t="shared" si="0"/>
        <v>7.119999999999999</v>
      </c>
      <c r="F64" s="80">
        <v>6</v>
      </c>
      <c r="G64" s="535">
        <v>0.21</v>
      </c>
      <c r="H64" s="877">
        <f t="shared" si="2"/>
        <v>1.26</v>
      </c>
      <c r="I64" s="858">
        <f t="shared" si="3"/>
        <v>0.011</v>
      </c>
      <c r="J64" s="871">
        <f t="shared" si="1"/>
        <v>8.379999999999999</v>
      </c>
      <c r="K64" s="794" t="s">
        <v>674</v>
      </c>
    </row>
    <row r="65" spans="1:11" ht="15" customHeight="1">
      <c r="A65" s="857">
        <f t="shared" si="4"/>
        <v>54</v>
      </c>
      <c r="B65" s="860" t="s">
        <v>138</v>
      </c>
      <c r="C65" s="878"/>
      <c r="D65" s="535">
        <v>1.424</v>
      </c>
      <c r="E65" s="877">
        <f t="shared" si="0"/>
        <v>0</v>
      </c>
      <c r="F65" s="80">
        <v>136.6</v>
      </c>
      <c r="G65" s="535">
        <v>0.21</v>
      </c>
      <c r="H65" s="877">
        <f t="shared" si="2"/>
        <v>28.685999999999996</v>
      </c>
      <c r="I65" s="858">
        <f t="shared" si="3"/>
        <v>0.1366</v>
      </c>
      <c r="J65" s="871">
        <f t="shared" si="1"/>
        <v>28.685999999999996</v>
      </c>
      <c r="K65" s="794" t="s">
        <v>446</v>
      </c>
    </row>
    <row r="66" spans="1:11" ht="15" customHeight="1">
      <c r="A66" s="857">
        <f t="shared" si="4"/>
        <v>55</v>
      </c>
      <c r="B66" s="860" t="s">
        <v>139</v>
      </c>
      <c r="C66" s="878">
        <v>14.5</v>
      </c>
      <c r="D66" s="535">
        <v>1.424</v>
      </c>
      <c r="E66" s="877">
        <f t="shared" si="0"/>
        <v>20.648</v>
      </c>
      <c r="F66" s="80">
        <v>145</v>
      </c>
      <c r="G66" s="535">
        <v>0.21</v>
      </c>
      <c r="H66" s="877">
        <f t="shared" si="2"/>
        <v>30.45</v>
      </c>
      <c r="I66" s="858">
        <f t="shared" si="3"/>
        <v>0.1595</v>
      </c>
      <c r="J66" s="871">
        <f t="shared" si="1"/>
        <v>51.098</v>
      </c>
      <c r="K66" s="794" t="s">
        <v>446</v>
      </c>
    </row>
    <row r="67" spans="1:11" ht="15" customHeight="1">
      <c r="A67" s="857">
        <f t="shared" si="4"/>
        <v>56</v>
      </c>
      <c r="B67" s="860" t="s">
        <v>258</v>
      </c>
      <c r="C67" s="878">
        <v>2.5</v>
      </c>
      <c r="D67" s="535">
        <v>1.424</v>
      </c>
      <c r="E67" s="877">
        <f t="shared" si="0"/>
        <v>3.5599999999999996</v>
      </c>
      <c r="F67" s="80">
        <v>2.5</v>
      </c>
      <c r="G67" s="535">
        <v>0.21</v>
      </c>
      <c r="H67" s="877">
        <f t="shared" si="2"/>
        <v>0.525</v>
      </c>
      <c r="I67" s="858">
        <f t="shared" si="3"/>
        <v>0.005</v>
      </c>
      <c r="J67" s="871">
        <f t="shared" si="1"/>
        <v>4.085</v>
      </c>
      <c r="K67" s="794"/>
    </row>
    <row r="68" spans="1:11" ht="15" customHeight="1">
      <c r="A68" s="857">
        <f t="shared" si="4"/>
        <v>57</v>
      </c>
      <c r="B68" s="860" t="s">
        <v>443</v>
      </c>
      <c r="C68" s="878">
        <v>1.5</v>
      </c>
      <c r="D68" s="535">
        <v>1.424</v>
      </c>
      <c r="E68" s="877">
        <f t="shared" si="0"/>
        <v>2.136</v>
      </c>
      <c r="F68" s="80"/>
      <c r="G68" s="535">
        <v>0.21</v>
      </c>
      <c r="H68" s="877">
        <f t="shared" si="2"/>
        <v>0</v>
      </c>
      <c r="I68" s="858">
        <f t="shared" si="3"/>
        <v>0.0015</v>
      </c>
      <c r="J68" s="871">
        <f t="shared" si="1"/>
        <v>2.136</v>
      </c>
      <c r="K68" s="794" t="s">
        <v>622</v>
      </c>
    </row>
    <row r="69" spans="1:11" ht="15" customHeight="1">
      <c r="A69" s="857">
        <f t="shared" si="4"/>
        <v>58</v>
      </c>
      <c r="B69" s="860" t="s">
        <v>267</v>
      </c>
      <c r="C69" s="878">
        <v>1</v>
      </c>
      <c r="D69" s="535">
        <v>1.424</v>
      </c>
      <c r="E69" s="877">
        <f t="shared" si="0"/>
        <v>1.424</v>
      </c>
      <c r="F69" s="80"/>
      <c r="G69" s="535">
        <v>0.21</v>
      </c>
      <c r="H69" s="877">
        <f t="shared" si="2"/>
        <v>0</v>
      </c>
      <c r="I69" s="858">
        <f t="shared" si="3"/>
        <v>0.001</v>
      </c>
      <c r="J69" s="871">
        <f t="shared" si="1"/>
        <v>1.424</v>
      </c>
      <c r="K69" s="794" t="s">
        <v>649</v>
      </c>
    </row>
    <row r="70" spans="1:11" ht="15" customHeight="1">
      <c r="A70" s="857">
        <f t="shared" si="4"/>
        <v>59</v>
      </c>
      <c r="B70" s="860" t="s">
        <v>246</v>
      </c>
      <c r="C70" s="878">
        <v>1</v>
      </c>
      <c r="D70" s="535">
        <v>1.424</v>
      </c>
      <c r="E70" s="877">
        <f t="shared" si="0"/>
        <v>1.424</v>
      </c>
      <c r="F70" s="80"/>
      <c r="G70" s="535">
        <v>0.21</v>
      </c>
      <c r="H70" s="877">
        <f t="shared" si="2"/>
        <v>0</v>
      </c>
      <c r="I70" s="858">
        <f t="shared" si="3"/>
        <v>0.001</v>
      </c>
      <c r="J70" s="871">
        <f t="shared" si="1"/>
        <v>1.424</v>
      </c>
      <c r="K70" s="794" t="s">
        <v>446</v>
      </c>
    </row>
    <row r="71" spans="1:11" ht="15" customHeight="1">
      <c r="A71" s="857">
        <f t="shared" si="4"/>
        <v>60</v>
      </c>
      <c r="B71" s="860" t="s">
        <v>370</v>
      </c>
      <c r="C71" s="878">
        <v>6</v>
      </c>
      <c r="D71" s="535">
        <v>1.424</v>
      </c>
      <c r="E71" s="877">
        <f t="shared" si="0"/>
        <v>8.544</v>
      </c>
      <c r="F71" s="80">
        <v>124</v>
      </c>
      <c r="G71" s="535">
        <v>0.21</v>
      </c>
      <c r="H71" s="877">
        <f t="shared" si="2"/>
        <v>26.04</v>
      </c>
      <c r="I71" s="858">
        <f t="shared" si="3"/>
        <v>0.13</v>
      </c>
      <c r="J71" s="871">
        <f t="shared" si="1"/>
        <v>34.584</v>
      </c>
      <c r="K71" s="794" t="s">
        <v>405</v>
      </c>
    </row>
    <row r="72" spans="1:11" ht="15" customHeight="1">
      <c r="A72" s="857">
        <f t="shared" si="4"/>
        <v>61</v>
      </c>
      <c r="B72" s="860" t="s">
        <v>268</v>
      </c>
      <c r="C72" s="878">
        <v>1.2</v>
      </c>
      <c r="D72" s="535">
        <v>1.424</v>
      </c>
      <c r="E72" s="877">
        <f t="shared" si="0"/>
        <v>1.7087999999999999</v>
      </c>
      <c r="F72" s="80">
        <v>270</v>
      </c>
      <c r="G72" s="535">
        <v>0.21</v>
      </c>
      <c r="H72" s="877">
        <f t="shared" si="2"/>
        <v>56.699999999999996</v>
      </c>
      <c r="I72" s="858">
        <f t="shared" si="3"/>
        <v>0.2712</v>
      </c>
      <c r="J72" s="871">
        <f t="shared" si="1"/>
        <v>58.40879999999999</v>
      </c>
      <c r="K72" s="794" t="s">
        <v>446</v>
      </c>
    </row>
    <row r="73" spans="1:11" ht="15" customHeight="1">
      <c r="A73" s="857">
        <f t="shared" si="4"/>
        <v>62</v>
      </c>
      <c r="B73" s="860" t="s">
        <v>166</v>
      </c>
      <c r="C73" s="878">
        <v>3</v>
      </c>
      <c r="D73" s="535">
        <v>1.424</v>
      </c>
      <c r="E73" s="877">
        <f t="shared" si="0"/>
        <v>4.272</v>
      </c>
      <c r="F73" s="80">
        <v>120</v>
      </c>
      <c r="G73" s="535">
        <v>0.21</v>
      </c>
      <c r="H73" s="877">
        <f t="shared" si="2"/>
        <v>25.2</v>
      </c>
      <c r="I73" s="858">
        <f t="shared" si="3"/>
        <v>0.123</v>
      </c>
      <c r="J73" s="871">
        <f t="shared" si="1"/>
        <v>29.472</v>
      </c>
      <c r="K73" s="794" t="s">
        <v>446</v>
      </c>
    </row>
    <row r="74" spans="1:11" ht="15" customHeight="1">
      <c r="A74" s="857">
        <f t="shared" si="4"/>
        <v>63</v>
      </c>
      <c r="B74" s="860" t="s">
        <v>108</v>
      </c>
      <c r="C74" s="878">
        <v>6</v>
      </c>
      <c r="D74" s="535">
        <v>1.424</v>
      </c>
      <c r="E74" s="877">
        <f t="shared" si="0"/>
        <v>8.544</v>
      </c>
      <c r="F74" s="80"/>
      <c r="G74" s="535">
        <v>0.21</v>
      </c>
      <c r="H74" s="877">
        <f t="shared" si="2"/>
        <v>0</v>
      </c>
      <c r="I74" s="858">
        <f t="shared" si="3"/>
        <v>0.006</v>
      </c>
      <c r="J74" s="871">
        <f t="shared" si="1"/>
        <v>8.544</v>
      </c>
      <c r="K74" s="794" t="s">
        <v>451</v>
      </c>
    </row>
    <row r="75" spans="1:11" ht="15" customHeight="1">
      <c r="A75" s="857">
        <f t="shared" si="4"/>
        <v>64</v>
      </c>
      <c r="B75" s="860" t="s">
        <v>108</v>
      </c>
      <c r="C75" s="878">
        <v>4</v>
      </c>
      <c r="D75" s="535">
        <v>1.424</v>
      </c>
      <c r="E75" s="877">
        <f t="shared" si="0"/>
        <v>5.696</v>
      </c>
      <c r="F75" s="80">
        <v>4</v>
      </c>
      <c r="G75" s="535">
        <v>0.21</v>
      </c>
      <c r="H75" s="877">
        <f t="shared" si="2"/>
        <v>0.84</v>
      </c>
      <c r="I75" s="858">
        <f t="shared" si="3"/>
        <v>0.008</v>
      </c>
      <c r="J75" s="871">
        <f t="shared" si="1"/>
        <v>6.536</v>
      </c>
      <c r="K75" s="795" t="s">
        <v>357</v>
      </c>
    </row>
    <row r="76" spans="1:11" ht="15" customHeight="1">
      <c r="A76" s="857">
        <f t="shared" si="4"/>
        <v>65</v>
      </c>
      <c r="B76" s="860" t="s">
        <v>561</v>
      </c>
      <c r="C76" s="878">
        <v>24</v>
      </c>
      <c r="D76" s="535">
        <v>1.424</v>
      </c>
      <c r="E76" s="877">
        <f t="shared" si="0"/>
        <v>34.176</v>
      </c>
      <c r="F76" s="80"/>
      <c r="G76" s="535">
        <v>0.21</v>
      </c>
      <c r="H76" s="877">
        <f t="shared" si="2"/>
        <v>0</v>
      </c>
      <c r="I76" s="858">
        <f t="shared" si="3"/>
        <v>0.024</v>
      </c>
      <c r="J76" s="871">
        <f t="shared" si="1"/>
        <v>34.176</v>
      </c>
      <c r="K76" s="794" t="s">
        <v>605</v>
      </c>
    </row>
    <row r="77" spans="1:11" ht="15" customHeight="1">
      <c r="A77" s="857">
        <f t="shared" si="4"/>
        <v>66</v>
      </c>
      <c r="B77" s="860" t="s">
        <v>326</v>
      </c>
      <c r="C77" s="878"/>
      <c r="D77" s="535">
        <v>1.424</v>
      </c>
      <c r="E77" s="877">
        <f t="shared" si="0"/>
        <v>0</v>
      </c>
      <c r="F77" s="80">
        <v>3</v>
      </c>
      <c r="G77" s="535">
        <v>0.21</v>
      </c>
      <c r="H77" s="877">
        <f t="shared" si="2"/>
        <v>0.63</v>
      </c>
      <c r="I77" s="858">
        <f t="shared" si="3"/>
        <v>0.003</v>
      </c>
      <c r="J77" s="871">
        <f t="shared" si="1"/>
        <v>0.63</v>
      </c>
      <c r="K77" s="794" t="s">
        <v>649</v>
      </c>
    </row>
    <row r="78" spans="1:11" ht="15" customHeight="1">
      <c r="A78" s="857">
        <f t="shared" si="4"/>
        <v>67</v>
      </c>
      <c r="B78" s="860" t="s">
        <v>285</v>
      </c>
      <c r="C78" s="878">
        <v>5</v>
      </c>
      <c r="D78" s="535">
        <v>1.424</v>
      </c>
      <c r="E78" s="877">
        <f t="shared" si="0"/>
        <v>7.119999999999999</v>
      </c>
      <c r="F78" s="80"/>
      <c r="G78" s="535">
        <v>0.21</v>
      </c>
      <c r="H78" s="877">
        <f t="shared" si="2"/>
        <v>0</v>
      </c>
      <c r="I78" s="858">
        <f aca="true" t="shared" si="11" ref="I78:I91">(C78+F78)/1000</f>
        <v>0.005</v>
      </c>
      <c r="J78" s="871">
        <f t="shared" si="1"/>
        <v>7.119999999999999</v>
      </c>
      <c r="K78" s="795" t="s">
        <v>457</v>
      </c>
    </row>
    <row r="79" spans="1:11" ht="15" customHeight="1">
      <c r="A79" s="857">
        <f t="shared" si="4"/>
        <v>68</v>
      </c>
      <c r="B79" s="860" t="s">
        <v>309</v>
      </c>
      <c r="C79" s="878"/>
      <c r="D79" s="535">
        <v>1.424</v>
      </c>
      <c r="E79" s="877">
        <f t="shared" si="0"/>
        <v>0</v>
      </c>
      <c r="F79" s="80">
        <v>69</v>
      </c>
      <c r="G79" s="535">
        <v>0.21</v>
      </c>
      <c r="H79" s="877">
        <f t="shared" si="2"/>
        <v>14.49</v>
      </c>
      <c r="I79" s="858">
        <f t="shared" si="11"/>
        <v>0.069</v>
      </c>
      <c r="J79" s="871">
        <f t="shared" si="1"/>
        <v>14.49</v>
      </c>
      <c r="K79" s="795" t="s">
        <v>649</v>
      </c>
    </row>
    <row r="80" spans="1:11" ht="15" customHeight="1">
      <c r="A80" s="857">
        <f t="shared" si="4"/>
        <v>69</v>
      </c>
      <c r="B80" s="860" t="s">
        <v>66</v>
      </c>
      <c r="C80" s="878"/>
      <c r="D80" s="535">
        <v>1.424</v>
      </c>
      <c r="E80" s="877">
        <f aca="true" t="shared" si="12" ref="E80:E89">C80*D80</f>
        <v>0</v>
      </c>
      <c r="F80" s="80">
        <v>65</v>
      </c>
      <c r="G80" s="535">
        <v>0.21</v>
      </c>
      <c r="H80" s="877">
        <f>F80*G80</f>
        <v>13.65</v>
      </c>
      <c r="I80" s="858">
        <f t="shared" si="11"/>
        <v>0.065</v>
      </c>
      <c r="J80" s="871">
        <f aca="true" t="shared" si="13" ref="J80:J89">E80+H80</f>
        <v>13.65</v>
      </c>
      <c r="K80" s="795" t="s">
        <v>649</v>
      </c>
    </row>
    <row r="81" spans="1:11" ht="15" customHeight="1">
      <c r="A81" s="857">
        <f t="shared" si="4"/>
        <v>70</v>
      </c>
      <c r="B81" s="860" t="s">
        <v>387</v>
      </c>
      <c r="C81" s="878"/>
      <c r="D81" s="535">
        <v>1.424</v>
      </c>
      <c r="E81" s="877">
        <f t="shared" si="12"/>
        <v>0</v>
      </c>
      <c r="F81" s="80">
        <v>10</v>
      </c>
      <c r="G81" s="535">
        <v>0.21</v>
      </c>
      <c r="H81" s="877">
        <f t="shared" si="2"/>
        <v>2.1</v>
      </c>
      <c r="I81" s="858">
        <f aca="true" t="shared" si="14" ref="I81">(C81+F81)/1000</f>
        <v>0.01</v>
      </c>
      <c r="J81" s="871">
        <f t="shared" si="13"/>
        <v>2.1</v>
      </c>
      <c r="K81" s="795"/>
    </row>
    <row r="82" spans="1:11" ht="15" customHeight="1">
      <c r="A82" s="857">
        <f t="shared" si="4"/>
        <v>71</v>
      </c>
      <c r="B82" s="860" t="s">
        <v>328</v>
      </c>
      <c r="C82" s="878"/>
      <c r="D82" s="535">
        <v>1.424</v>
      </c>
      <c r="E82" s="877">
        <f t="shared" si="12"/>
        <v>0</v>
      </c>
      <c r="F82" s="80">
        <v>160</v>
      </c>
      <c r="G82" s="535">
        <v>0.21</v>
      </c>
      <c r="H82" s="877">
        <f aca="true" t="shared" si="15" ref="H82:H91">F82*G82</f>
        <v>33.6</v>
      </c>
      <c r="I82" s="858">
        <f t="shared" si="11"/>
        <v>0.16</v>
      </c>
      <c r="J82" s="871">
        <f t="shared" si="13"/>
        <v>33.6</v>
      </c>
      <c r="K82" s="795"/>
    </row>
    <row r="83" spans="1:11" ht="15" customHeight="1">
      <c r="A83" s="857">
        <f t="shared" si="4"/>
        <v>72</v>
      </c>
      <c r="B83" s="860" t="s">
        <v>68</v>
      </c>
      <c r="C83" s="878">
        <v>5.6</v>
      </c>
      <c r="D83" s="535">
        <v>1.424</v>
      </c>
      <c r="E83" s="877">
        <f t="shared" si="12"/>
        <v>7.974399999999999</v>
      </c>
      <c r="F83" s="80">
        <v>5.6</v>
      </c>
      <c r="G83" s="535">
        <v>0.21</v>
      </c>
      <c r="H83" s="877">
        <f t="shared" si="15"/>
        <v>1.176</v>
      </c>
      <c r="I83" s="858">
        <f t="shared" si="11"/>
        <v>0.0112</v>
      </c>
      <c r="J83" s="871">
        <f t="shared" si="13"/>
        <v>9.1504</v>
      </c>
      <c r="K83" s="794" t="s">
        <v>369</v>
      </c>
    </row>
    <row r="84" spans="1:11" ht="15" customHeight="1">
      <c r="A84" s="857">
        <f aca="true" t="shared" si="16" ref="A84:A91">A83+1</f>
        <v>73</v>
      </c>
      <c r="B84" s="860" t="s">
        <v>140</v>
      </c>
      <c r="C84" s="878">
        <v>1</v>
      </c>
      <c r="D84" s="535">
        <v>1.424</v>
      </c>
      <c r="E84" s="877">
        <f aca="true" t="shared" si="17" ref="E84">C84*D84</f>
        <v>1.424</v>
      </c>
      <c r="F84" s="80">
        <v>2</v>
      </c>
      <c r="G84" s="535">
        <v>0.21</v>
      </c>
      <c r="H84" s="877">
        <f aca="true" t="shared" si="18" ref="H84">F84*G84</f>
        <v>0.42</v>
      </c>
      <c r="I84" s="858">
        <f t="shared" si="11"/>
        <v>0.003</v>
      </c>
      <c r="J84" s="871">
        <f aca="true" t="shared" si="19" ref="J84">E84+H84</f>
        <v>1.8439999999999999</v>
      </c>
      <c r="K84" s="956" t="s">
        <v>714</v>
      </c>
    </row>
    <row r="85" spans="1:11" ht="15" customHeight="1">
      <c r="A85" s="857">
        <f t="shared" si="16"/>
        <v>74</v>
      </c>
      <c r="B85" s="860" t="s">
        <v>675</v>
      </c>
      <c r="C85" s="878">
        <v>12</v>
      </c>
      <c r="D85" s="535">
        <v>1.424</v>
      </c>
      <c r="E85" s="877">
        <f t="shared" si="12"/>
        <v>17.088</v>
      </c>
      <c r="F85" s="80">
        <v>131</v>
      </c>
      <c r="G85" s="535">
        <v>0.21</v>
      </c>
      <c r="H85" s="877">
        <f t="shared" si="15"/>
        <v>27.509999999999998</v>
      </c>
      <c r="I85" s="858">
        <f t="shared" si="11"/>
        <v>0.143</v>
      </c>
      <c r="J85" s="871">
        <f t="shared" si="13"/>
        <v>44.598</v>
      </c>
      <c r="K85" s="794"/>
    </row>
    <row r="86" spans="1:11" ht="15" customHeight="1">
      <c r="A86" s="857">
        <f t="shared" si="16"/>
        <v>75</v>
      </c>
      <c r="B86" s="860" t="s">
        <v>310</v>
      </c>
      <c r="C86" s="878"/>
      <c r="D86" s="535">
        <v>1.424</v>
      </c>
      <c r="E86" s="877">
        <f t="shared" si="12"/>
        <v>0</v>
      </c>
      <c r="F86" s="80">
        <v>208</v>
      </c>
      <c r="G86" s="535">
        <v>0.21</v>
      </c>
      <c r="H86" s="877">
        <f t="shared" si="15"/>
        <v>43.68</v>
      </c>
      <c r="I86" s="858">
        <f t="shared" si="11"/>
        <v>0.208</v>
      </c>
      <c r="J86" s="871">
        <f t="shared" si="13"/>
        <v>43.68</v>
      </c>
      <c r="K86" s="794"/>
    </row>
    <row r="87" spans="1:11" ht="15" customHeight="1">
      <c r="A87" s="857">
        <f t="shared" si="16"/>
        <v>76</v>
      </c>
      <c r="B87" s="860" t="s">
        <v>270</v>
      </c>
      <c r="C87" s="878">
        <v>4</v>
      </c>
      <c r="D87" s="535">
        <v>1.424</v>
      </c>
      <c r="E87" s="877">
        <f t="shared" si="12"/>
        <v>5.696</v>
      </c>
      <c r="F87" s="80"/>
      <c r="G87" s="535">
        <v>0.21</v>
      </c>
      <c r="H87" s="877">
        <f t="shared" si="15"/>
        <v>0</v>
      </c>
      <c r="I87" s="858">
        <f t="shared" si="11"/>
        <v>0.004</v>
      </c>
      <c r="J87" s="871">
        <f t="shared" si="13"/>
        <v>5.696</v>
      </c>
      <c r="K87" s="794" t="s">
        <v>623</v>
      </c>
    </row>
    <row r="88" spans="1:11" ht="15" customHeight="1">
      <c r="A88" s="857">
        <f t="shared" si="16"/>
        <v>77</v>
      </c>
      <c r="B88" s="860" t="s">
        <v>174</v>
      </c>
      <c r="C88" s="878">
        <v>4</v>
      </c>
      <c r="D88" s="535">
        <v>1.424</v>
      </c>
      <c r="E88" s="877">
        <f t="shared" si="12"/>
        <v>5.696</v>
      </c>
      <c r="F88" s="80"/>
      <c r="G88" s="535">
        <v>0.21</v>
      </c>
      <c r="H88" s="877">
        <f t="shared" si="15"/>
        <v>0</v>
      </c>
      <c r="I88" s="858">
        <f t="shared" si="11"/>
        <v>0.004</v>
      </c>
      <c r="J88" s="871">
        <f t="shared" si="13"/>
        <v>5.696</v>
      </c>
      <c r="K88" s="795" t="s">
        <v>446</v>
      </c>
    </row>
    <row r="89" spans="1:11" ht="15" customHeight="1">
      <c r="A89" s="857">
        <f t="shared" si="16"/>
        <v>78</v>
      </c>
      <c r="B89" s="860" t="s">
        <v>283</v>
      </c>
      <c r="C89" s="878">
        <v>1.3</v>
      </c>
      <c r="D89" s="535">
        <v>1.424</v>
      </c>
      <c r="E89" s="877">
        <f t="shared" si="12"/>
        <v>1.8512</v>
      </c>
      <c r="F89" s="80">
        <v>134</v>
      </c>
      <c r="G89" s="535">
        <v>0.21</v>
      </c>
      <c r="H89" s="877">
        <f t="shared" si="15"/>
        <v>28.14</v>
      </c>
      <c r="I89" s="858">
        <f t="shared" si="11"/>
        <v>0.1353</v>
      </c>
      <c r="J89" s="871">
        <f t="shared" si="13"/>
        <v>29.9912</v>
      </c>
      <c r="K89" s="794" t="s">
        <v>446</v>
      </c>
    </row>
    <row r="90" spans="1:11" ht="15" customHeight="1">
      <c r="A90" s="857">
        <f t="shared" si="16"/>
        <v>79</v>
      </c>
      <c r="B90" s="860" t="s">
        <v>461</v>
      </c>
      <c r="C90" s="878">
        <v>1.3</v>
      </c>
      <c r="D90" s="535">
        <v>1.424</v>
      </c>
      <c r="E90" s="877">
        <f aca="true" t="shared" si="20" ref="E90:E91">C90*D90</f>
        <v>1.8512</v>
      </c>
      <c r="F90" s="80">
        <v>177</v>
      </c>
      <c r="G90" s="535">
        <v>0.21</v>
      </c>
      <c r="H90" s="877">
        <f t="shared" si="15"/>
        <v>37.17</v>
      </c>
      <c r="I90" s="858">
        <f t="shared" si="11"/>
        <v>0.17830000000000001</v>
      </c>
      <c r="J90" s="871">
        <f aca="true" t="shared" si="21" ref="J90:J91">E90+H90</f>
        <v>39.0212</v>
      </c>
      <c r="K90" s="794" t="s">
        <v>446</v>
      </c>
    </row>
    <row r="91" spans="1:11" ht="15" customHeight="1" thickBot="1">
      <c r="A91" s="857">
        <f t="shared" si="16"/>
        <v>80</v>
      </c>
      <c r="B91" s="863" t="s">
        <v>175</v>
      </c>
      <c r="C91" s="879"/>
      <c r="D91" s="798">
        <v>1.424</v>
      </c>
      <c r="E91" s="877">
        <f t="shared" si="20"/>
        <v>0</v>
      </c>
      <c r="F91" s="797">
        <v>202</v>
      </c>
      <c r="G91" s="535">
        <v>0.21</v>
      </c>
      <c r="H91" s="877">
        <f t="shared" si="15"/>
        <v>42.42</v>
      </c>
      <c r="I91" s="858">
        <f t="shared" si="11"/>
        <v>0.202</v>
      </c>
      <c r="J91" s="872">
        <f t="shared" si="21"/>
        <v>42.42</v>
      </c>
      <c r="K91" s="799" t="s">
        <v>446</v>
      </c>
    </row>
    <row r="92" spans="1:11" ht="15" customHeight="1" thickBot="1">
      <c r="A92" s="864"/>
      <c r="B92" s="874" t="s">
        <v>110</v>
      </c>
      <c r="C92" s="880">
        <f>SUM(C12:C91)</f>
        <v>491.4</v>
      </c>
      <c r="D92" s="880"/>
      <c r="E92" s="880">
        <f>SUM(E12:E91)</f>
        <v>708.9576</v>
      </c>
      <c r="F92" s="880">
        <f>SUM(F12:F91)</f>
        <v>4464.7</v>
      </c>
      <c r="G92" s="880"/>
      <c r="H92" s="880">
        <f>SUM(H12:H91)</f>
        <v>937.587</v>
      </c>
      <c r="I92" s="875">
        <f>SUM(I12:I91)</f>
        <v>4.956099999999997</v>
      </c>
      <c r="J92" s="873">
        <f>E92+H92</f>
        <v>1646.5446</v>
      </c>
      <c r="K92" s="800"/>
    </row>
    <row r="93" spans="1:11" ht="15" customHeight="1">
      <c r="A93" s="91"/>
      <c r="B93" s="92"/>
      <c r="C93" s="93"/>
      <c r="D93" s="93"/>
      <c r="E93" s="94"/>
      <c r="F93" s="93"/>
      <c r="G93" s="93"/>
      <c r="H93" s="95"/>
      <c r="I93" s="95"/>
      <c r="J93" s="95"/>
      <c r="K93" s="95"/>
    </row>
    <row r="94" spans="1:11" ht="15" customHeight="1">
      <c r="A94" s="96"/>
      <c r="B94" s="101" t="s">
        <v>95</v>
      </c>
      <c r="C94" s="102"/>
      <c r="D94" s="102"/>
      <c r="E94" s="101"/>
      <c r="F94" s="102" t="s">
        <v>38</v>
      </c>
      <c r="G94" s="102"/>
      <c r="H94" s="97"/>
      <c r="I94" s="98"/>
      <c r="J94" s="99"/>
      <c r="K94" s="100"/>
    </row>
    <row r="95" spans="1:11" ht="15" customHeight="1">
      <c r="A95" s="96"/>
      <c r="B95" s="101"/>
      <c r="C95" s="102"/>
      <c r="D95" s="102"/>
      <c r="E95" s="101"/>
      <c r="F95" s="102"/>
      <c r="G95" s="102"/>
      <c r="H95" s="102"/>
      <c r="I95" s="99"/>
      <c r="J95" s="99"/>
      <c r="K95" s="100"/>
    </row>
    <row r="96" spans="1:11" ht="15" customHeight="1">
      <c r="A96" s="64"/>
      <c r="B96" s="105"/>
      <c r="C96" s="104"/>
      <c r="D96" s="104"/>
      <c r="E96" s="105"/>
      <c r="F96" s="104"/>
      <c r="G96" s="104"/>
      <c r="H96" s="106"/>
      <c r="I96" s="106"/>
      <c r="J96" s="106"/>
      <c r="K96" s="104"/>
    </row>
    <row r="97" spans="1:11" ht="12.75">
      <c r="A97" s="64"/>
      <c r="B97" s="105"/>
      <c r="C97" s="104"/>
      <c r="D97" s="104"/>
      <c r="E97" s="105"/>
      <c r="F97" s="104"/>
      <c r="G97" s="104"/>
      <c r="H97" s="106"/>
      <c r="I97" s="106"/>
      <c r="J97" s="106"/>
      <c r="K97" s="104"/>
    </row>
    <row r="98" spans="1:11" ht="15.75" thickBot="1">
      <c r="A98" s="96"/>
      <c r="B98" s="101" t="s">
        <v>305</v>
      </c>
      <c r="C98" s="102"/>
      <c r="D98" s="102"/>
      <c r="E98" s="101"/>
      <c r="F98" s="102"/>
      <c r="G98" s="102"/>
      <c r="H98" s="97"/>
      <c r="I98" s="98"/>
      <c r="J98" s="99"/>
      <c r="K98" s="100"/>
    </row>
    <row r="99" spans="1:11" ht="14.25" customHeight="1">
      <c r="A99" s="1960" t="s">
        <v>44</v>
      </c>
      <c r="B99" s="1962" t="s">
        <v>6</v>
      </c>
      <c r="C99" s="1964" t="s">
        <v>97</v>
      </c>
      <c r="D99" s="1965"/>
      <c r="E99" s="1965"/>
      <c r="F99" s="1966" t="s">
        <v>98</v>
      </c>
      <c r="G99" s="1965"/>
      <c r="H99" s="1967"/>
      <c r="I99" s="1966" t="s">
        <v>8</v>
      </c>
      <c r="J99" s="1965"/>
      <c r="K99" s="1977" t="s">
        <v>49</v>
      </c>
    </row>
    <row r="100" spans="1:11" ht="14.25">
      <c r="A100" s="1961"/>
      <c r="B100" s="1961"/>
      <c r="C100" s="1968"/>
      <c r="D100" s="1969"/>
      <c r="E100" s="1969"/>
      <c r="F100" s="1968"/>
      <c r="G100" s="1969"/>
      <c r="H100" s="1970"/>
      <c r="I100" s="1971" t="s">
        <v>99</v>
      </c>
      <c r="J100" s="1972"/>
      <c r="K100" s="1978"/>
    </row>
    <row r="101" spans="1:11" ht="43.5" thickBot="1">
      <c r="A101" s="1952"/>
      <c r="B101" s="1963"/>
      <c r="C101" s="536" t="s">
        <v>100</v>
      </c>
      <c r="D101" s="537" t="s">
        <v>292</v>
      </c>
      <c r="E101" s="538" t="s">
        <v>294</v>
      </c>
      <c r="F101" s="536" t="s">
        <v>101</v>
      </c>
      <c r="G101" s="537" t="s">
        <v>292</v>
      </c>
      <c r="H101" s="539" t="s">
        <v>294</v>
      </c>
      <c r="I101" s="540" t="s">
        <v>102</v>
      </c>
      <c r="J101" s="539" t="s">
        <v>294</v>
      </c>
      <c r="K101" s="1979"/>
    </row>
    <row r="102" spans="1:11" ht="15.75" thickBot="1">
      <c r="A102" s="70"/>
      <c r="B102" s="71"/>
      <c r="C102" s="72"/>
      <c r="D102" s="533"/>
      <c r="E102" s="73"/>
      <c r="F102" s="72"/>
      <c r="G102" s="533"/>
      <c r="H102" s="73"/>
      <c r="I102" s="74"/>
      <c r="J102" s="75"/>
      <c r="K102" s="76"/>
    </row>
    <row r="103" spans="1:11" ht="12.75">
      <c r="A103" s="77">
        <v>1</v>
      </c>
      <c r="B103" s="11" t="s">
        <v>304</v>
      </c>
      <c r="C103" s="78"/>
      <c r="D103" s="534"/>
      <c r="E103" s="79"/>
      <c r="F103" s="80">
        <v>2</v>
      </c>
      <c r="G103" s="535"/>
      <c r="H103" s="79"/>
      <c r="I103" s="81">
        <v>2</v>
      </c>
      <c r="J103" s="82"/>
      <c r="K103" s="83" t="s">
        <v>525</v>
      </c>
    </row>
    <row r="104" spans="1:11" ht="12.75">
      <c r="A104" s="77">
        <f>A103+1</f>
        <v>2</v>
      </c>
      <c r="B104" s="11" t="s">
        <v>306</v>
      </c>
      <c r="C104" s="78"/>
      <c r="D104" s="534"/>
      <c r="E104" s="79">
        <f aca="true" t="shared" si="22" ref="E104:E123">C104*D104</f>
        <v>0</v>
      </c>
      <c r="F104" s="80">
        <v>4</v>
      </c>
      <c r="G104" s="535"/>
      <c r="H104" s="79">
        <f aca="true" t="shared" si="23" ref="H104:H129">F104*G104</f>
        <v>0</v>
      </c>
      <c r="I104" s="78">
        <f aca="true" t="shared" si="24" ref="I104:I129">C104+F104</f>
        <v>4</v>
      </c>
      <c r="J104" s="84">
        <f aca="true" t="shared" si="25" ref="J104:J123">E104+H104</f>
        <v>0</v>
      </c>
      <c r="K104" s="83" t="s">
        <v>524</v>
      </c>
    </row>
    <row r="105" spans="1:11" ht="12.75">
      <c r="A105" s="77">
        <f aca="true" t="shared" si="26" ref="A105:A129">A104+1</f>
        <v>3</v>
      </c>
      <c r="B105" s="11" t="s">
        <v>307</v>
      </c>
      <c r="C105" s="85"/>
      <c r="D105" s="85"/>
      <c r="E105" s="79">
        <f t="shared" si="22"/>
        <v>0</v>
      </c>
      <c r="F105" s="80">
        <v>8</v>
      </c>
      <c r="G105" s="535"/>
      <c r="H105" s="79">
        <f t="shared" si="23"/>
        <v>0</v>
      </c>
      <c r="I105" s="78">
        <f t="shared" si="24"/>
        <v>8</v>
      </c>
      <c r="J105" s="84">
        <f t="shared" si="25"/>
        <v>0</v>
      </c>
      <c r="K105" s="86" t="s">
        <v>526</v>
      </c>
    </row>
    <row r="106" spans="1:11" ht="12.75">
      <c r="A106" s="77">
        <f t="shared" si="26"/>
        <v>4</v>
      </c>
      <c r="B106" s="11" t="s">
        <v>330</v>
      </c>
      <c r="C106" s="87"/>
      <c r="D106" s="534"/>
      <c r="E106" s="79">
        <f t="shared" si="22"/>
        <v>0</v>
      </c>
      <c r="F106" s="80">
        <v>6</v>
      </c>
      <c r="G106" s="535"/>
      <c r="H106" s="79">
        <f t="shared" si="23"/>
        <v>0</v>
      </c>
      <c r="I106" s="78">
        <f t="shared" si="24"/>
        <v>6</v>
      </c>
      <c r="J106" s="84">
        <f t="shared" si="25"/>
        <v>0</v>
      </c>
      <c r="K106" s="86" t="s">
        <v>527</v>
      </c>
    </row>
    <row r="107" spans="1:11" ht="12.75">
      <c r="A107" s="77">
        <f t="shared" si="26"/>
        <v>5</v>
      </c>
      <c r="B107" s="88" t="s">
        <v>312</v>
      </c>
      <c r="C107" s="87"/>
      <c r="D107" s="534"/>
      <c r="E107" s="79">
        <f t="shared" si="22"/>
        <v>0</v>
      </c>
      <c r="F107" s="80">
        <v>8</v>
      </c>
      <c r="G107" s="535"/>
      <c r="H107" s="79">
        <f t="shared" si="23"/>
        <v>0</v>
      </c>
      <c r="I107" s="78">
        <f t="shared" si="24"/>
        <v>8</v>
      </c>
      <c r="J107" s="84">
        <f t="shared" si="25"/>
        <v>0</v>
      </c>
      <c r="K107" s="86" t="s">
        <v>526</v>
      </c>
    </row>
    <row r="108" spans="1:11" ht="12.75">
      <c r="A108" s="77">
        <f t="shared" si="26"/>
        <v>6</v>
      </c>
      <c r="B108" s="88" t="s">
        <v>333</v>
      </c>
      <c r="C108" s="87"/>
      <c r="D108" s="534"/>
      <c r="E108" s="79">
        <f t="shared" si="22"/>
        <v>0</v>
      </c>
      <c r="F108" s="80">
        <v>6</v>
      </c>
      <c r="G108" s="535"/>
      <c r="H108" s="79">
        <f t="shared" si="23"/>
        <v>0</v>
      </c>
      <c r="I108" s="78">
        <f t="shared" si="24"/>
        <v>6</v>
      </c>
      <c r="J108" s="84">
        <f t="shared" si="25"/>
        <v>0</v>
      </c>
      <c r="K108" s="86" t="s">
        <v>527</v>
      </c>
    </row>
    <row r="109" spans="1:11" ht="12.75">
      <c r="A109" s="77">
        <f t="shared" si="26"/>
        <v>7</v>
      </c>
      <c r="B109" s="88" t="s">
        <v>103</v>
      </c>
      <c r="C109" s="87"/>
      <c r="D109" s="534"/>
      <c r="E109" s="79">
        <f t="shared" si="22"/>
        <v>0</v>
      </c>
      <c r="F109" s="80">
        <v>6</v>
      </c>
      <c r="G109" s="535"/>
      <c r="H109" s="79">
        <f t="shared" si="23"/>
        <v>0</v>
      </c>
      <c r="I109" s="78">
        <f t="shared" si="24"/>
        <v>6</v>
      </c>
      <c r="J109" s="84">
        <f t="shared" si="25"/>
        <v>0</v>
      </c>
      <c r="K109" s="86" t="s">
        <v>527</v>
      </c>
    </row>
    <row r="110" spans="1:11" ht="12.75">
      <c r="A110" s="77">
        <f t="shared" si="26"/>
        <v>8</v>
      </c>
      <c r="B110" s="89" t="s">
        <v>72</v>
      </c>
      <c r="C110" s="87"/>
      <c r="D110" s="534"/>
      <c r="E110" s="79">
        <f t="shared" si="22"/>
        <v>0</v>
      </c>
      <c r="F110" s="80">
        <v>10</v>
      </c>
      <c r="G110" s="535"/>
      <c r="H110" s="79">
        <f t="shared" si="23"/>
        <v>0</v>
      </c>
      <c r="I110" s="78">
        <f t="shared" si="24"/>
        <v>10</v>
      </c>
      <c r="J110" s="84">
        <f t="shared" si="25"/>
        <v>0</v>
      </c>
      <c r="K110" s="86" t="s">
        <v>528</v>
      </c>
    </row>
    <row r="111" spans="1:11" ht="12.75">
      <c r="A111" s="77">
        <f t="shared" si="26"/>
        <v>9</v>
      </c>
      <c r="B111" s="89" t="s">
        <v>72</v>
      </c>
      <c r="C111" s="87"/>
      <c r="D111" s="534"/>
      <c r="E111" s="79">
        <f t="shared" si="22"/>
        <v>0</v>
      </c>
      <c r="F111" s="80">
        <v>18</v>
      </c>
      <c r="G111" s="535"/>
      <c r="H111" s="79">
        <f t="shared" si="23"/>
        <v>0</v>
      </c>
      <c r="I111" s="78">
        <f t="shared" si="24"/>
        <v>18</v>
      </c>
      <c r="J111" s="84">
        <f t="shared" si="25"/>
        <v>0</v>
      </c>
      <c r="K111" s="83" t="s">
        <v>338</v>
      </c>
    </row>
    <row r="112" spans="1:11" ht="12.75">
      <c r="A112" s="77">
        <f t="shared" si="26"/>
        <v>10</v>
      </c>
      <c r="B112" s="89" t="s">
        <v>158</v>
      </c>
      <c r="C112" s="87"/>
      <c r="D112" s="534"/>
      <c r="E112" s="79">
        <f t="shared" si="22"/>
        <v>0</v>
      </c>
      <c r="F112" s="80">
        <v>8</v>
      </c>
      <c r="G112" s="535"/>
      <c r="H112" s="79">
        <f t="shared" si="23"/>
        <v>0</v>
      </c>
      <c r="I112" s="78">
        <f t="shared" si="24"/>
        <v>8</v>
      </c>
      <c r="J112" s="84">
        <f t="shared" si="25"/>
        <v>0</v>
      </c>
      <c r="K112" s="83" t="s">
        <v>526</v>
      </c>
    </row>
    <row r="113" spans="1:11" ht="12.75">
      <c r="A113" s="77">
        <f t="shared" si="26"/>
        <v>11</v>
      </c>
      <c r="B113" s="89" t="s">
        <v>343</v>
      </c>
      <c r="C113" s="87"/>
      <c r="D113" s="534"/>
      <c r="E113" s="79">
        <f t="shared" si="22"/>
        <v>0</v>
      </c>
      <c r="F113" s="80">
        <v>6</v>
      </c>
      <c r="G113" s="535"/>
      <c r="H113" s="79">
        <f t="shared" si="23"/>
        <v>0</v>
      </c>
      <c r="I113" s="78">
        <f t="shared" si="24"/>
        <v>6</v>
      </c>
      <c r="J113" s="84">
        <f t="shared" si="25"/>
        <v>0</v>
      </c>
      <c r="K113" s="83" t="s">
        <v>426</v>
      </c>
    </row>
    <row r="114" spans="1:11" ht="12.75">
      <c r="A114" s="77">
        <v>8</v>
      </c>
      <c r="B114" s="89" t="s">
        <v>313</v>
      </c>
      <c r="C114" s="87"/>
      <c r="D114" s="534"/>
      <c r="E114" s="79">
        <f t="shared" si="22"/>
        <v>0</v>
      </c>
      <c r="F114" s="80">
        <v>15</v>
      </c>
      <c r="G114" s="535"/>
      <c r="H114" s="79">
        <f t="shared" si="23"/>
        <v>0</v>
      </c>
      <c r="I114" s="78">
        <f t="shared" si="24"/>
        <v>15</v>
      </c>
      <c r="J114" s="84">
        <f t="shared" si="25"/>
        <v>0</v>
      </c>
      <c r="K114" s="83" t="s">
        <v>425</v>
      </c>
    </row>
    <row r="115" spans="1:11" ht="12.75">
      <c r="A115" s="77">
        <f t="shared" si="26"/>
        <v>9</v>
      </c>
      <c r="B115" s="89" t="s">
        <v>318</v>
      </c>
      <c r="C115" s="87"/>
      <c r="D115" s="534"/>
      <c r="E115" s="79">
        <f t="shared" si="22"/>
        <v>0</v>
      </c>
      <c r="F115" s="80">
        <v>2</v>
      </c>
      <c r="G115" s="535"/>
      <c r="H115" s="79">
        <f t="shared" si="23"/>
        <v>0</v>
      </c>
      <c r="I115" s="78">
        <f t="shared" si="24"/>
        <v>2</v>
      </c>
      <c r="J115" s="84">
        <f t="shared" si="25"/>
        <v>0</v>
      </c>
      <c r="K115" s="83" t="s">
        <v>525</v>
      </c>
    </row>
    <row r="116" spans="1:11" ht="12.75">
      <c r="A116" s="77">
        <f t="shared" si="26"/>
        <v>10</v>
      </c>
      <c r="B116" s="89" t="s">
        <v>513</v>
      </c>
      <c r="C116" s="87"/>
      <c r="D116" s="534"/>
      <c r="E116" s="79">
        <f t="shared" si="22"/>
        <v>0</v>
      </c>
      <c r="F116" s="80">
        <v>2</v>
      </c>
      <c r="G116" s="535"/>
      <c r="H116" s="79">
        <f t="shared" si="23"/>
        <v>0</v>
      </c>
      <c r="I116" s="78">
        <f t="shared" si="24"/>
        <v>2</v>
      </c>
      <c r="J116" s="84">
        <f t="shared" si="25"/>
        <v>0</v>
      </c>
      <c r="K116" s="83" t="s">
        <v>525</v>
      </c>
    </row>
    <row r="117" spans="1:11" ht="12.75">
      <c r="A117" s="77">
        <f t="shared" si="26"/>
        <v>11</v>
      </c>
      <c r="B117" s="89" t="s">
        <v>320</v>
      </c>
      <c r="C117" s="87"/>
      <c r="D117" s="534"/>
      <c r="E117" s="79">
        <f t="shared" si="22"/>
        <v>0</v>
      </c>
      <c r="F117" s="80">
        <v>4</v>
      </c>
      <c r="G117" s="535"/>
      <c r="H117" s="79">
        <f t="shared" si="23"/>
        <v>0</v>
      </c>
      <c r="I117" s="78">
        <f t="shared" si="24"/>
        <v>4</v>
      </c>
      <c r="J117" s="84">
        <f t="shared" si="25"/>
        <v>0</v>
      </c>
      <c r="K117" s="83" t="s">
        <v>515</v>
      </c>
    </row>
    <row r="118" spans="1:11" ht="12.75">
      <c r="A118" s="77">
        <f t="shared" si="26"/>
        <v>12</v>
      </c>
      <c r="B118" s="89" t="s">
        <v>517</v>
      </c>
      <c r="C118" s="87"/>
      <c r="D118" s="534"/>
      <c r="E118" s="79">
        <f t="shared" si="22"/>
        <v>0</v>
      </c>
      <c r="F118" s="80">
        <v>3.5</v>
      </c>
      <c r="G118" s="535"/>
      <c r="H118" s="79">
        <f t="shared" si="23"/>
        <v>0</v>
      </c>
      <c r="I118" s="78">
        <f t="shared" si="24"/>
        <v>3.5</v>
      </c>
      <c r="J118" s="84">
        <f t="shared" si="25"/>
        <v>0</v>
      </c>
      <c r="K118" s="83" t="s">
        <v>518</v>
      </c>
    </row>
    <row r="119" spans="1:11" ht="12.75">
      <c r="A119" s="77">
        <f t="shared" si="26"/>
        <v>13</v>
      </c>
      <c r="B119" s="89" t="s">
        <v>517</v>
      </c>
      <c r="C119" s="87"/>
      <c r="D119" s="534"/>
      <c r="E119" s="79">
        <f t="shared" si="22"/>
        <v>0</v>
      </c>
      <c r="F119" s="80">
        <v>14</v>
      </c>
      <c r="G119" s="535"/>
      <c r="H119" s="79">
        <f t="shared" si="23"/>
        <v>0</v>
      </c>
      <c r="I119" s="78">
        <f t="shared" si="24"/>
        <v>14</v>
      </c>
      <c r="J119" s="84">
        <f t="shared" si="25"/>
        <v>0</v>
      </c>
      <c r="K119" s="83" t="s">
        <v>529</v>
      </c>
    </row>
    <row r="120" spans="1:11" ht="12.75">
      <c r="A120" s="77">
        <f t="shared" si="26"/>
        <v>14</v>
      </c>
      <c r="B120" s="89" t="s">
        <v>519</v>
      </c>
      <c r="C120" s="87"/>
      <c r="D120" s="534"/>
      <c r="E120" s="79">
        <f t="shared" si="22"/>
        <v>0</v>
      </c>
      <c r="F120" s="80">
        <v>9</v>
      </c>
      <c r="G120" s="535"/>
      <c r="H120" s="79">
        <f t="shared" si="23"/>
        <v>0</v>
      </c>
      <c r="I120" s="78">
        <f t="shared" si="24"/>
        <v>9</v>
      </c>
      <c r="J120" s="84">
        <f t="shared" si="25"/>
        <v>0</v>
      </c>
      <c r="K120" s="83" t="s">
        <v>522</v>
      </c>
    </row>
    <row r="121" spans="1:11" ht="12.75">
      <c r="A121" s="77">
        <f t="shared" si="26"/>
        <v>15</v>
      </c>
      <c r="B121" s="89" t="s">
        <v>322</v>
      </c>
      <c r="C121" s="87"/>
      <c r="D121" s="534"/>
      <c r="E121" s="79">
        <f t="shared" si="22"/>
        <v>0</v>
      </c>
      <c r="F121" s="80">
        <v>2</v>
      </c>
      <c r="G121" s="535"/>
      <c r="H121" s="79">
        <f t="shared" si="23"/>
        <v>0</v>
      </c>
      <c r="I121" s="78">
        <f t="shared" si="24"/>
        <v>2</v>
      </c>
      <c r="J121" s="84">
        <f t="shared" si="25"/>
        <v>0</v>
      </c>
      <c r="K121" s="83" t="s">
        <v>525</v>
      </c>
    </row>
    <row r="122" spans="1:11" ht="12.75">
      <c r="A122" s="77">
        <f t="shared" si="26"/>
        <v>16</v>
      </c>
      <c r="B122" s="89" t="s">
        <v>523</v>
      </c>
      <c r="C122" s="87"/>
      <c r="D122" s="534"/>
      <c r="E122" s="79">
        <f t="shared" si="22"/>
        <v>0</v>
      </c>
      <c r="F122" s="80">
        <v>4</v>
      </c>
      <c r="G122" s="535"/>
      <c r="H122" s="79">
        <f t="shared" si="23"/>
        <v>0</v>
      </c>
      <c r="I122" s="78">
        <f t="shared" si="24"/>
        <v>4</v>
      </c>
      <c r="J122" s="84">
        <f t="shared" si="25"/>
        <v>0</v>
      </c>
      <c r="K122" s="83" t="s">
        <v>524</v>
      </c>
    </row>
    <row r="123" spans="1:11" ht="12.75">
      <c r="A123" s="77">
        <f t="shared" si="26"/>
        <v>17</v>
      </c>
      <c r="B123" s="89" t="s">
        <v>61</v>
      </c>
      <c r="C123" s="87"/>
      <c r="D123" s="534"/>
      <c r="E123" s="79">
        <f t="shared" si="22"/>
        <v>0</v>
      </c>
      <c r="F123" s="80">
        <v>2</v>
      </c>
      <c r="G123" s="535"/>
      <c r="H123" s="79">
        <f t="shared" si="23"/>
        <v>0</v>
      </c>
      <c r="I123" s="78">
        <f t="shared" si="24"/>
        <v>2</v>
      </c>
      <c r="J123" s="84">
        <f t="shared" si="25"/>
        <v>0</v>
      </c>
      <c r="K123" s="83" t="s">
        <v>412</v>
      </c>
    </row>
    <row r="124" spans="1:11" ht="12.75">
      <c r="A124" s="77">
        <f t="shared" si="26"/>
        <v>18</v>
      </c>
      <c r="B124" s="89" t="s">
        <v>164</v>
      </c>
      <c r="C124" s="87"/>
      <c r="D124" s="534"/>
      <c r="E124" s="79"/>
      <c r="F124" s="80">
        <v>16</v>
      </c>
      <c r="G124" s="535"/>
      <c r="H124" s="79">
        <f t="shared" si="23"/>
        <v>0</v>
      </c>
      <c r="I124" s="78">
        <f t="shared" si="24"/>
        <v>16</v>
      </c>
      <c r="J124" s="84"/>
      <c r="K124" s="83" t="s">
        <v>560</v>
      </c>
    </row>
    <row r="125" spans="1:11" ht="12.75">
      <c r="A125" s="77">
        <f t="shared" si="26"/>
        <v>19</v>
      </c>
      <c r="B125" s="89" t="s">
        <v>563</v>
      </c>
      <c r="C125" s="87"/>
      <c r="D125" s="534"/>
      <c r="E125" s="79">
        <f>C125*D125</f>
        <v>0</v>
      </c>
      <c r="F125" s="80">
        <v>4</v>
      </c>
      <c r="G125" s="535"/>
      <c r="H125" s="79">
        <f t="shared" si="23"/>
        <v>0</v>
      </c>
      <c r="I125" s="78">
        <f t="shared" si="24"/>
        <v>4</v>
      </c>
      <c r="J125" s="84">
        <f>E125+H125</f>
        <v>0</v>
      </c>
      <c r="K125" s="83" t="s">
        <v>564</v>
      </c>
    </row>
    <row r="126" spans="1:11" ht="12.75">
      <c r="A126" s="77">
        <f t="shared" si="26"/>
        <v>20</v>
      </c>
      <c r="B126" s="89" t="s">
        <v>123</v>
      </c>
      <c r="C126" s="87"/>
      <c r="D126" s="534"/>
      <c r="E126" s="79">
        <f>C126*D126</f>
        <v>0</v>
      </c>
      <c r="F126" s="80">
        <v>6</v>
      </c>
      <c r="G126" s="535"/>
      <c r="H126" s="79">
        <f t="shared" si="23"/>
        <v>0</v>
      </c>
      <c r="I126" s="78">
        <f t="shared" si="24"/>
        <v>6</v>
      </c>
      <c r="J126" s="84">
        <f>E126+H126</f>
        <v>0</v>
      </c>
      <c r="K126" s="83" t="s">
        <v>565</v>
      </c>
    </row>
    <row r="127" spans="1:11" ht="12.75">
      <c r="A127" s="77">
        <f t="shared" si="26"/>
        <v>21</v>
      </c>
      <c r="B127" s="89" t="s">
        <v>266</v>
      </c>
      <c r="C127" s="87"/>
      <c r="D127" s="534"/>
      <c r="E127" s="79">
        <f>C127*D127</f>
        <v>0</v>
      </c>
      <c r="F127" s="80">
        <v>2</v>
      </c>
      <c r="G127" s="535"/>
      <c r="H127" s="79">
        <f t="shared" si="23"/>
        <v>0</v>
      </c>
      <c r="I127" s="78">
        <f t="shared" si="24"/>
        <v>2</v>
      </c>
      <c r="J127" s="84">
        <f>E127+H127</f>
        <v>0</v>
      </c>
      <c r="K127" s="83" t="s">
        <v>578</v>
      </c>
    </row>
    <row r="128" spans="1:11" ht="12.75">
      <c r="A128" s="77">
        <f t="shared" si="26"/>
        <v>22</v>
      </c>
      <c r="B128" s="89" t="s">
        <v>83</v>
      </c>
      <c r="C128" s="87"/>
      <c r="D128" s="534"/>
      <c r="E128" s="79">
        <f>C128*D128</f>
        <v>0</v>
      </c>
      <c r="F128" s="80"/>
      <c r="G128" s="535"/>
      <c r="H128" s="79">
        <f t="shared" si="23"/>
        <v>0</v>
      </c>
      <c r="I128" s="78">
        <f t="shared" si="24"/>
        <v>0</v>
      </c>
      <c r="J128" s="84">
        <f>E128+H128</f>
        <v>0</v>
      </c>
      <c r="K128" s="83"/>
    </row>
    <row r="129" spans="1:11" ht="12.75">
      <c r="A129" s="77">
        <f t="shared" si="26"/>
        <v>23</v>
      </c>
      <c r="B129" s="89" t="s">
        <v>258</v>
      </c>
      <c r="C129" s="87"/>
      <c r="D129" s="534"/>
      <c r="E129" s="79">
        <f>C129*D129</f>
        <v>0</v>
      </c>
      <c r="F129" s="80">
        <v>1</v>
      </c>
      <c r="G129" s="535"/>
      <c r="H129" s="79">
        <f t="shared" si="23"/>
        <v>0</v>
      </c>
      <c r="I129" s="78">
        <f t="shared" si="24"/>
        <v>1</v>
      </c>
      <c r="J129" s="84">
        <f>E129+H129</f>
        <v>0</v>
      </c>
      <c r="K129" s="83" t="s">
        <v>612</v>
      </c>
    </row>
  </sheetData>
  <autoFilter ref="A11:J92"/>
  <mergeCells count="19">
    <mergeCell ref="K8:K10"/>
    <mergeCell ref="C9:E9"/>
    <mergeCell ref="F9:H9"/>
    <mergeCell ref="I9:J9"/>
    <mergeCell ref="K99:K101"/>
    <mergeCell ref="A6:J6"/>
    <mergeCell ref="A99:A101"/>
    <mergeCell ref="B99:B101"/>
    <mergeCell ref="C99:E99"/>
    <mergeCell ref="F99:H99"/>
    <mergeCell ref="I99:J99"/>
    <mergeCell ref="C100:E100"/>
    <mergeCell ref="F100:H100"/>
    <mergeCell ref="I100:J100"/>
    <mergeCell ref="A8:A10"/>
    <mergeCell ref="B8:B10"/>
    <mergeCell ref="C8:E8"/>
    <mergeCell ref="F8:H8"/>
    <mergeCell ref="I8:J8"/>
  </mergeCells>
  <printOptions horizontalCentered="1"/>
  <pageMargins left="0.2362204724409449" right="0.2362204724409449" top="0.15748031496062992" bottom="0.35433070866141736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2:Z69"/>
  <sheetViews>
    <sheetView workbookViewId="0" topLeftCell="A16">
      <selection activeCell="D11" sqref="D11:F11"/>
    </sheetView>
  </sheetViews>
  <sheetFormatPr defaultColWidth="9.00390625" defaultRowHeight="12.75"/>
  <cols>
    <col min="1" max="1" width="4.375" style="0" customWidth="1"/>
    <col min="2" max="2" width="22.625" style="0" customWidth="1"/>
    <col min="3" max="3" width="5.75390625" style="0" hidden="1" customWidth="1"/>
    <col min="4" max="4" width="6.625" style="0" customWidth="1"/>
    <col min="5" max="5" width="8.75390625" style="0" customWidth="1"/>
    <col min="6" max="6" width="13.25390625" style="0" customWidth="1"/>
    <col min="7" max="7" width="8.875" style="0" hidden="1" customWidth="1"/>
    <col min="8" max="8" width="12.125" style="0" hidden="1" customWidth="1"/>
    <col min="9" max="9" width="9.875" style="0" customWidth="1"/>
    <col min="10" max="10" width="11.875" style="0" customWidth="1"/>
    <col min="11" max="11" width="8.75390625" style="0" customWidth="1"/>
    <col min="12" max="12" width="12.75390625" style="0" customWidth="1"/>
    <col min="13" max="13" width="8.75390625" style="0" customWidth="1"/>
    <col min="14" max="14" width="12.75390625" style="0" customWidth="1"/>
    <col min="15" max="15" width="8.75390625" style="0" customWidth="1"/>
    <col min="16" max="16" width="12.75390625" style="0" customWidth="1"/>
    <col min="17" max="17" width="8.375" style="0" customWidth="1"/>
    <col min="18" max="18" width="10.25390625" style="0" customWidth="1"/>
    <col min="19" max="19" width="8.75390625" style="0" customWidth="1"/>
    <col min="20" max="20" width="11.625" style="0" customWidth="1"/>
    <col min="21" max="21" width="8.75390625" style="0" customWidth="1"/>
    <col min="22" max="22" width="11.00390625" style="0" customWidth="1"/>
    <col min="23" max="23" width="8.75390625" style="0" customWidth="1"/>
    <col min="24" max="24" width="11.375" style="0" customWidth="1"/>
    <col min="25" max="26" width="8.75390625" style="0" hidden="1" customWidth="1"/>
  </cols>
  <sheetData>
    <row r="2" spans="1:25" ht="18.95" customHeight="1">
      <c r="A2" s="1"/>
      <c r="B2" s="1745"/>
      <c r="C2" s="1741"/>
      <c r="D2" s="1741"/>
      <c r="E2" s="1741"/>
      <c r="F2" s="1742"/>
      <c r="G2" s="2"/>
      <c r="H2" s="2"/>
      <c r="I2" s="1"/>
      <c r="J2" s="1"/>
      <c r="K2" s="1"/>
      <c r="L2" s="1697"/>
      <c r="M2" s="1697"/>
      <c r="N2" s="1698"/>
      <c r="O2" s="1698"/>
      <c r="P2" s="1"/>
      <c r="V2" s="1746" t="s">
        <v>0</v>
      </c>
      <c r="W2" s="1747"/>
      <c r="X2" s="1747"/>
      <c r="Y2" s="1747"/>
    </row>
    <row r="3" spans="1:25" ht="18.95" customHeight="1">
      <c r="A3" s="1"/>
      <c r="B3" s="1741"/>
      <c r="C3" s="1741"/>
      <c r="D3" s="1741"/>
      <c r="E3" s="1741"/>
      <c r="F3" s="1742"/>
      <c r="G3" s="2"/>
      <c r="H3" s="2"/>
      <c r="I3" s="1"/>
      <c r="J3" s="1"/>
      <c r="K3" s="1"/>
      <c r="L3" s="1697"/>
      <c r="M3" s="1697"/>
      <c r="N3" s="1698"/>
      <c r="O3" s="1698"/>
      <c r="P3" s="1"/>
      <c r="V3" s="1747" t="s">
        <v>1</v>
      </c>
      <c r="W3" s="1747"/>
      <c r="X3" s="1747"/>
      <c r="Y3" s="1747"/>
    </row>
    <row r="4" spans="1:25" ht="18.95" customHeight="1">
      <c r="A4" s="1"/>
      <c r="B4" s="1741"/>
      <c r="C4" s="1741"/>
      <c r="D4" s="1741"/>
      <c r="E4" s="1741"/>
      <c r="F4" s="1742"/>
      <c r="G4" s="2"/>
      <c r="H4" s="2"/>
      <c r="I4" s="1"/>
      <c r="J4" s="1"/>
      <c r="K4" s="1"/>
      <c r="L4" s="1697"/>
      <c r="M4" s="1697"/>
      <c r="N4" s="1698"/>
      <c r="O4" s="1698"/>
      <c r="P4" s="1"/>
      <c r="V4" s="1747" t="s">
        <v>2</v>
      </c>
      <c r="W4" s="1747"/>
      <c r="X4" s="1747"/>
      <c r="Y4" s="1747"/>
    </row>
    <row r="5" spans="1:25" ht="18.95" customHeight="1">
      <c r="A5" s="1"/>
      <c r="B5" s="1741"/>
      <c r="C5" s="1741"/>
      <c r="D5" s="1741"/>
      <c r="E5" s="1741"/>
      <c r="F5" s="1742"/>
      <c r="G5" s="2"/>
      <c r="H5" s="2"/>
      <c r="I5" s="1"/>
      <c r="J5" s="1"/>
      <c r="K5" s="1"/>
      <c r="L5" s="1697"/>
      <c r="M5" s="1697"/>
      <c r="N5" s="1698"/>
      <c r="O5" s="1698"/>
      <c r="P5" s="1"/>
      <c r="V5" s="1747" t="s">
        <v>3</v>
      </c>
      <c r="W5" s="1747"/>
      <c r="X5" s="1747"/>
      <c r="Y5" s="1747"/>
    </row>
    <row r="6" spans="1:16" ht="18.95" customHeight="1">
      <c r="A6" s="1"/>
      <c r="B6" s="1741"/>
      <c r="C6" s="1741"/>
      <c r="D6" s="1741"/>
      <c r="E6" s="1741"/>
      <c r="F6" s="1742"/>
      <c r="G6" s="2"/>
      <c r="H6" s="2"/>
      <c r="I6" s="1"/>
      <c r="J6" s="1"/>
      <c r="K6" s="1"/>
      <c r="L6" s="1738"/>
      <c r="M6" s="1738"/>
      <c r="N6" s="1739"/>
      <c r="O6" s="1739"/>
      <c r="P6" s="1"/>
    </row>
    <row r="7" spans="1:16" ht="13.5" customHeight="1">
      <c r="A7" s="333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</row>
    <row r="8" spans="1:16" ht="15.75" customHeight="1">
      <c r="A8" s="1990" t="s">
        <v>4</v>
      </c>
      <c r="B8" s="1990"/>
      <c r="C8" s="1990"/>
      <c r="D8" s="1990"/>
      <c r="E8" s="1990"/>
      <c r="F8" s="1990"/>
      <c r="G8" s="1990"/>
      <c r="H8" s="1990"/>
      <c r="I8" s="1990"/>
      <c r="J8" s="1990"/>
      <c r="K8" s="1990"/>
      <c r="L8" s="1990"/>
      <c r="M8" s="1990"/>
      <c r="N8" s="1990"/>
      <c r="O8" s="1990"/>
      <c r="P8" s="1990"/>
    </row>
    <row r="9" spans="1:16" ht="15.75" customHeight="1">
      <c r="A9" s="1980" t="s">
        <v>350</v>
      </c>
      <c r="B9" s="1980"/>
      <c r="C9" s="1980"/>
      <c r="D9" s="1980"/>
      <c r="E9" s="1980"/>
      <c r="F9" s="1980"/>
      <c r="G9" s="1980"/>
      <c r="H9" s="1980"/>
      <c r="I9" s="1980"/>
      <c r="J9" s="1980"/>
      <c r="K9" s="1980"/>
      <c r="L9" s="1980"/>
      <c r="M9" s="1980"/>
      <c r="N9" s="1980"/>
      <c r="O9" s="1980"/>
      <c r="P9" s="1980"/>
    </row>
    <row r="10" spans="1:16" ht="18.75" customHeight="1" thickBot="1">
      <c r="A10" s="1743"/>
      <c r="B10" s="1743"/>
      <c r="C10" s="1743"/>
      <c r="D10" s="1743"/>
      <c r="E10" s="1743"/>
      <c r="F10" s="1743"/>
      <c r="G10" s="1743"/>
      <c r="H10" s="1743"/>
      <c r="I10" s="1743"/>
      <c r="J10" s="1743"/>
      <c r="K10" s="1743"/>
      <c r="L10" s="1743"/>
      <c r="M10" s="1743"/>
      <c r="N10" s="1743"/>
      <c r="O10" s="1743"/>
      <c r="P10" s="1743"/>
    </row>
    <row r="11" spans="1:26" ht="20.25" customHeight="1" thickBot="1">
      <c r="A11" s="1991" t="s">
        <v>5</v>
      </c>
      <c r="B11" s="1994" t="s">
        <v>6</v>
      </c>
      <c r="C11" s="1997" t="s">
        <v>7</v>
      </c>
      <c r="D11" s="1986" t="s">
        <v>8</v>
      </c>
      <c r="E11" s="2000"/>
      <c r="F11" s="2000"/>
      <c r="G11" s="1986" t="s">
        <v>15</v>
      </c>
      <c r="H11" s="1987"/>
      <c r="I11" s="1986" t="s">
        <v>941</v>
      </c>
      <c r="J11" s="1987"/>
      <c r="K11" s="1986" t="s">
        <v>942</v>
      </c>
      <c r="L11" s="1987"/>
      <c r="M11" s="1986" t="s">
        <v>943</v>
      </c>
      <c r="N11" s="1987"/>
      <c r="O11" s="1986" t="s">
        <v>944</v>
      </c>
      <c r="P11" s="1987"/>
      <c r="Q11" s="1986" t="s">
        <v>945</v>
      </c>
      <c r="R11" s="1987"/>
      <c r="S11" s="1986" t="s">
        <v>946</v>
      </c>
      <c r="T11" s="1987"/>
      <c r="U11" s="1986" t="s">
        <v>947</v>
      </c>
      <c r="V11" s="1987"/>
      <c r="W11" s="1986" t="s">
        <v>948</v>
      </c>
      <c r="X11" s="1987"/>
      <c r="Y11" s="1986" t="s">
        <v>939</v>
      </c>
      <c r="Z11" s="1987"/>
    </row>
    <row r="12" spans="1:26" ht="15.75" customHeight="1" thickBot="1">
      <c r="A12" s="1992"/>
      <c r="B12" s="1995"/>
      <c r="C12" s="1998"/>
      <c r="D12" s="1983" t="s">
        <v>13</v>
      </c>
      <c r="E12" s="1988"/>
      <c r="F12" s="944" t="s">
        <v>14</v>
      </c>
      <c r="G12" s="1983" t="s">
        <v>19</v>
      </c>
      <c r="H12" s="1981" t="s">
        <v>20</v>
      </c>
      <c r="I12" s="1983" t="s">
        <v>940</v>
      </c>
      <c r="J12" s="1981" t="s">
        <v>17</v>
      </c>
      <c r="K12" s="1983" t="s">
        <v>940</v>
      </c>
      <c r="L12" s="1981" t="s">
        <v>17</v>
      </c>
      <c r="M12" s="1983" t="s">
        <v>940</v>
      </c>
      <c r="N12" s="1981" t="s">
        <v>17</v>
      </c>
      <c r="O12" s="1983" t="s">
        <v>940</v>
      </c>
      <c r="P12" s="1981" t="s">
        <v>17</v>
      </c>
      <c r="Q12" s="1983" t="s">
        <v>940</v>
      </c>
      <c r="R12" s="1981" t="s">
        <v>17</v>
      </c>
      <c r="S12" s="1983" t="s">
        <v>940</v>
      </c>
      <c r="T12" s="1981" t="s">
        <v>17</v>
      </c>
      <c r="U12" s="1983" t="s">
        <v>940</v>
      </c>
      <c r="V12" s="1981" t="s">
        <v>17</v>
      </c>
      <c r="W12" s="1983" t="s">
        <v>940</v>
      </c>
      <c r="X12" s="1981" t="s">
        <v>17</v>
      </c>
      <c r="Y12" s="1983" t="s">
        <v>940</v>
      </c>
      <c r="Z12" s="1981" t="s">
        <v>17</v>
      </c>
    </row>
    <row r="13" spans="1:26" ht="15.75" customHeight="1" thickBot="1">
      <c r="A13" s="1992"/>
      <c r="B13" s="1995"/>
      <c r="C13" s="1998"/>
      <c r="D13" s="1984"/>
      <c r="E13" s="1989"/>
      <c r="F13" s="945" t="s">
        <v>8</v>
      </c>
      <c r="G13" s="1984"/>
      <c r="H13" s="1982"/>
      <c r="I13" s="1984"/>
      <c r="J13" s="1982"/>
      <c r="K13" s="1984"/>
      <c r="L13" s="1982"/>
      <c r="M13" s="1984"/>
      <c r="N13" s="1982"/>
      <c r="O13" s="1984"/>
      <c r="P13" s="1982"/>
      <c r="Q13" s="1984"/>
      <c r="R13" s="1982"/>
      <c r="S13" s="1984"/>
      <c r="T13" s="1982"/>
      <c r="U13" s="1984"/>
      <c r="V13" s="1982"/>
      <c r="W13" s="1984"/>
      <c r="X13" s="1982"/>
      <c r="Y13" s="1984"/>
      <c r="Z13" s="1982"/>
    </row>
    <row r="14" spans="1:26" ht="15.75" customHeight="1" thickBot="1">
      <c r="A14" s="1993"/>
      <c r="B14" s="1996"/>
      <c r="C14" s="1999"/>
      <c r="D14" s="947" t="s">
        <v>21</v>
      </c>
      <c r="E14" s="7" t="s">
        <v>22</v>
      </c>
      <c r="F14" s="946" t="s">
        <v>23</v>
      </c>
      <c r="G14" s="1694" t="s">
        <v>24</v>
      </c>
      <c r="H14" s="1695" t="s">
        <v>23</v>
      </c>
      <c r="I14" s="1691" t="s">
        <v>956</v>
      </c>
      <c r="J14" s="942" t="s">
        <v>25</v>
      </c>
      <c r="K14" s="1740" t="s">
        <v>956</v>
      </c>
      <c r="L14" s="942" t="s">
        <v>25</v>
      </c>
      <c r="M14" s="1740" t="s">
        <v>956</v>
      </c>
      <c r="N14" s="942" t="s">
        <v>25</v>
      </c>
      <c r="O14" s="1740" t="s">
        <v>956</v>
      </c>
      <c r="P14" s="942" t="s">
        <v>25</v>
      </c>
      <c r="Q14" s="1740" t="s">
        <v>956</v>
      </c>
      <c r="R14" s="942" t="s">
        <v>25</v>
      </c>
      <c r="S14" s="1740" t="s">
        <v>956</v>
      </c>
      <c r="T14" s="942" t="s">
        <v>25</v>
      </c>
      <c r="U14" s="1740" t="s">
        <v>956</v>
      </c>
      <c r="V14" s="942" t="s">
        <v>25</v>
      </c>
      <c r="W14" s="1740" t="s">
        <v>956</v>
      </c>
      <c r="X14" s="942" t="s">
        <v>25</v>
      </c>
      <c r="Y14" s="1691" t="s">
        <v>130</v>
      </c>
      <c r="Z14" s="942" t="s">
        <v>25</v>
      </c>
    </row>
    <row r="15" spans="1:26" ht="7.5" customHeight="1" thickBot="1">
      <c r="A15" s="9"/>
      <c r="B15" s="5"/>
      <c r="C15" s="10"/>
      <c r="D15" s="1691"/>
      <c r="E15" s="7"/>
      <c r="F15" s="1693"/>
      <c r="G15" s="1692"/>
      <c r="H15" s="8"/>
      <c r="I15" s="1691"/>
      <c r="J15" s="942"/>
      <c r="K15" s="1691"/>
      <c r="L15" s="942"/>
      <c r="M15" s="1691"/>
      <c r="N15" s="942"/>
      <c r="O15" s="1691"/>
      <c r="P15" s="942"/>
      <c r="Q15" s="1691"/>
      <c r="R15" s="942"/>
      <c r="S15" s="1691"/>
      <c r="T15" s="942"/>
      <c r="U15" s="1691"/>
      <c r="V15" s="942"/>
      <c r="W15" s="1691"/>
      <c r="X15" s="942"/>
      <c r="Y15" s="1691"/>
      <c r="Z15" s="942"/>
    </row>
    <row r="16" spans="1:26" ht="16.5" customHeight="1">
      <c r="A16" s="948">
        <v>1</v>
      </c>
      <c r="B16" s="949" t="s">
        <v>306</v>
      </c>
      <c r="C16" s="950">
        <v>2</v>
      </c>
      <c r="D16" s="1724">
        <v>2</v>
      </c>
      <c r="E16" s="1725">
        <v>0.0751</v>
      </c>
      <c r="F16" s="1726">
        <f aca="true" t="shared" si="0" ref="F16:F47">E16*1587.621</f>
        <v>119.23033710000001</v>
      </c>
      <c r="G16" s="884">
        <v>0</v>
      </c>
      <c r="H16" s="1727">
        <v>119.23033710000001</v>
      </c>
      <c r="I16" s="1754">
        <v>0.0369</v>
      </c>
      <c r="J16" s="1755">
        <f>I16*1587.621</f>
        <v>58.58321490000001</v>
      </c>
      <c r="K16" s="1756">
        <v>0.0382</v>
      </c>
      <c r="L16" s="1757">
        <f>K16*1587.621</f>
        <v>60.6471222</v>
      </c>
      <c r="M16" s="1756"/>
      <c r="N16" s="1757">
        <f>M16*1587.621</f>
        <v>0</v>
      </c>
      <c r="O16" s="1758"/>
      <c r="P16" s="1757">
        <f>O16*1587.621</f>
        <v>0</v>
      </c>
      <c r="Q16" s="1758"/>
      <c r="R16" s="1757">
        <f>Q16*1587.621</f>
        <v>0</v>
      </c>
      <c r="S16" s="1758"/>
      <c r="T16" s="1757">
        <f aca="true" t="shared" si="1" ref="R16:T47">S16*1587.621</f>
        <v>0</v>
      </c>
      <c r="U16" s="1758"/>
      <c r="V16" s="1757">
        <f aca="true" t="shared" si="2" ref="T16:V31">U16*1587.621</f>
        <v>0</v>
      </c>
      <c r="W16" s="1758"/>
      <c r="X16" s="1757">
        <f aca="true" t="shared" si="3" ref="X16:X47">W16*1587.621</f>
        <v>0</v>
      </c>
      <c r="Y16" s="1728"/>
      <c r="Z16" s="1729"/>
    </row>
    <row r="17" spans="1:26" s="20" customFormat="1" ht="16.5" customHeight="1">
      <c r="A17" s="948">
        <f aca="true" t="shared" si="4" ref="A17:A47">A16+1</f>
        <v>2</v>
      </c>
      <c r="B17" s="949" t="s">
        <v>307</v>
      </c>
      <c r="C17" s="950">
        <v>4</v>
      </c>
      <c r="D17" s="1724">
        <v>4</v>
      </c>
      <c r="E17" s="1730">
        <v>0.312</v>
      </c>
      <c r="F17" s="1726">
        <f t="shared" si="0"/>
        <v>495.337752</v>
      </c>
      <c r="G17" s="884">
        <v>0</v>
      </c>
      <c r="H17" s="1727">
        <v>495.337752</v>
      </c>
      <c r="I17" s="1754">
        <v>0.078</v>
      </c>
      <c r="J17" s="1755">
        <f aca="true" t="shared" si="5" ref="J17:J47">I17*1587.621</f>
        <v>123.834438</v>
      </c>
      <c r="K17" s="1756">
        <v>0.0777</v>
      </c>
      <c r="L17" s="1757">
        <f aca="true" t="shared" si="6" ref="L17:L47">K17*1587.621</f>
        <v>123.35815170000002</v>
      </c>
      <c r="M17" s="1756">
        <v>0.0778</v>
      </c>
      <c r="N17" s="1757">
        <f aca="true" t="shared" si="7" ref="N17:N47">M17*1587.621</f>
        <v>123.5169138</v>
      </c>
      <c r="O17" s="1759">
        <v>0.0785</v>
      </c>
      <c r="P17" s="1757">
        <f aca="true" t="shared" si="8" ref="P17:P47">O17*1587.621</f>
        <v>124.62824850000001</v>
      </c>
      <c r="Q17" s="1759"/>
      <c r="R17" s="1757">
        <f t="shared" si="1"/>
        <v>0</v>
      </c>
      <c r="S17" s="1759"/>
      <c r="T17" s="1757">
        <f t="shared" si="2"/>
        <v>0</v>
      </c>
      <c r="U17" s="1759"/>
      <c r="V17" s="1757">
        <f t="shared" si="2"/>
        <v>0</v>
      </c>
      <c r="W17" s="1759"/>
      <c r="X17" s="1757">
        <f t="shared" si="3"/>
        <v>0</v>
      </c>
      <c r="Y17" s="1731"/>
      <c r="Z17" s="1729"/>
    </row>
    <row r="18" spans="1:26" s="20" customFormat="1" ht="16.5" customHeight="1">
      <c r="A18" s="948">
        <f t="shared" si="4"/>
        <v>3</v>
      </c>
      <c r="B18" s="949" t="s">
        <v>312</v>
      </c>
      <c r="C18" s="950">
        <v>5</v>
      </c>
      <c r="D18" s="1724">
        <v>4</v>
      </c>
      <c r="E18" s="1730">
        <v>0.311</v>
      </c>
      <c r="F18" s="1726">
        <f t="shared" si="0"/>
        <v>493.750131</v>
      </c>
      <c r="G18" s="884">
        <v>0</v>
      </c>
      <c r="H18" s="1727">
        <v>493.750131</v>
      </c>
      <c r="I18" s="1754">
        <v>0.077</v>
      </c>
      <c r="J18" s="1755">
        <f t="shared" si="5"/>
        <v>122.24681700000001</v>
      </c>
      <c r="K18" s="1756">
        <v>0.078</v>
      </c>
      <c r="L18" s="1757">
        <f t="shared" si="6"/>
        <v>123.834438</v>
      </c>
      <c r="M18" s="1756">
        <v>0.0776</v>
      </c>
      <c r="N18" s="1757">
        <f t="shared" si="7"/>
        <v>123.19938960000002</v>
      </c>
      <c r="O18" s="1759">
        <v>0.0784</v>
      </c>
      <c r="P18" s="1757">
        <f t="shared" si="8"/>
        <v>124.46948640000001</v>
      </c>
      <c r="Q18" s="1759"/>
      <c r="R18" s="1757">
        <f t="shared" si="1"/>
        <v>0</v>
      </c>
      <c r="S18" s="1759"/>
      <c r="T18" s="1757">
        <f t="shared" si="2"/>
        <v>0</v>
      </c>
      <c r="U18" s="1759"/>
      <c r="V18" s="1757">
        <f t="shared" si="2"/>
        <v>0</v>
      </c>
      <c r="W18" s="1759"/>
      <c r="X18" s="1757">
        <f t="shared" si="3"/>
        <v>0</v>
      </c>
      <c r="Y18" s="1731"/>
      <c r="Z18" s="1729"/>
    </row>
    <row r="19" spans="1:26" s="20" customFormat="1" ht="16.5" customHeight="1">
      <c r="A19" s="948">
        <f t="shared" si="4"/>
        <v>4</v>
      </c>
      <c r="B19" s="949" t="s">
        <v>72</v>
      </c>
      <c r="C19" s="950">
        <v>5</v>
      </c>
      <c r="D19" s="1724">
        <v>5</v>
      </c>
      <c r="E19" s="1730">
        <v>0.3772</v>
      </c>
      <c r="F19" s="1726">
        <f t="shared" si="0"/>
        <v>598.8506412</v>
      </c>
      <c r="G19" s="884">
        <v>0</v>
      </c>
      <c r="H19" s="1727">
        <v>598.8506412</v>
      </c>
      <c r="I19" s="1754">
        <v>0.0754</v>
      </c>
      <c r="J19" s="1755">
        <f t="shared" si="5"/>
        <v>119.7066234</v>
      </c>
      <c r="K19" s="1756">
        <v>0.0758</v>
      </c>
      <c r="L19" s="1757">
        <f t="shared" si="6"/>
        <v>120.34167180000001</v>
      </c>
      <c r="M19" s="1756">
        <v>0.0751</v>
      </c>
      <c r="N19" s="1757">
        <f t="shared" si="7"/>
        <v>119.23033710000001</v>
      </c>
      <c r="O19" s="1759">
        <v>0.0759</v>
      </c>
      <c r="P19" s="1757">
        <f t="shared" si="8"/>
        <v>120.5004339</v>
      </c>
      <c r="Q19" s="1759">
        <v>0.075</v>
      </c>
      <c r="R19" s="1757">
        <f t="shared" si="1"/>
        <v>119.071575</v>
      </c>
      <c r="S19" s="1759"/>
      <c r="T19" s="1757">
        <f t="shared" si="2"/>
        <v>0</v>
      </c>
      <c r="U19" s="1759"/>
      <c r="V19" s="1757">
        <f t="shared" si="2"/>
        <v>0</v>
      </c>
      <c r="W19" s="1759"/>
      <c r="X19" s="1757">
        <f t="shared" si="3"/>
        <v>0</v>
      </c>
      <c r="Y19" s="1731"/>
      <c r="Z19" s="1729"/>
    </row>
    <row r="20" spans="1:26" s="20" customFormat="1" ht="16.5" customHeight="1">
      <c r="A20" s="948">
        <f t="shared" si="4"/>
        <v>5</v>
      </c>
      <c r="B20" s="949" t="s">
        <v>313</v>
      </c>
      <c r="C20" s="950">
        <v>5</v>
      </c>
      <c r="D20" s="1724">
        <v>3</v>
      </c>
      <c r="E20" s="1730">
        <v>0.221</v>
      </c>
      <c r="F20" s="1726">
        <f t="shared" si="0"/>
        <v>350.86424100000005</v>
      </c>
      <c r="G20" s="884">
        <v>0</v>
      </c>
      <c r="H20" s="1727">
        <v>350.86424100000005</v>
      </c>
      <c r="I20" s="1754">
        <v>0.0736</v>
      </c>
      <c r="J20" s="1755">
        <f t="shared" si="5"/>
        <v>116.84890560000001</v>
      </c>
      <c r="K20" s="1756">
        <v>0.0739</v>
      </c>
      <c r="L20" s="1757">
        <f t="shared" si="6"/>
        <v>117.3251919</v>
      </c>
      <c r="M20" s="1756">
        <v>0.0735</v>
      </c>
      <c r="N20" s="1757">
        <f t="shared" si="7"/>
        <v>116.6901435</v>
      </c>
      <c r="O20" s="1756"/>
      <c r="P20" s="1757">
        <f t="shared" si="8"/>
        <v>0</v>
      </c>
      <c r="Q20" s="1756"/>
      <c r="R20" s="1757">
        <f t="shared" si="1"/>
        <v>0</v>
      </c>
      <c r="S20" s="1756"/>
      <c r="T20" s="1757">
        <f t="shared" si="2"/>
        <v>0</v>
      </c>
      <c r="U20" s="1756"/>
      <c r="V20" s="1757">
        <f t="shared" si="2"/>
        <v>0</v>
      </c>
      <c r="W20" s="1756"/>
      <c r="X20" s="1757">
        <f t="shared" si="3"/>
        <v>0</v>
      </c>
      <c r="Y20" s="1732"/>
      <c r="Z20" s="1733"/>
    </row>
    <row r="21" spans="1:26" ht="16.5" customHeight="1">
      <c r="A21" s="948">
        <f t="shared" si="4"/>
        <v>6</v>
      </c>
      <c r="B21" s="949" t="s">
        <v>613</v>
      </c>
      <c r="C21" s="950">
        <v>5</v>
      </c>
      <c r="D21" s="1724">
        <v>4</v>
      </c>
      <c r="E21" s="1730">
        <v>0.23</v>
      </c>
      <c r="F21" s="1726">
        <f t="shared" si="0"/>
        <v>365.15283000000005</v>
      </c>
      <c r="G21" s="884">
        <v>0</v>
      </c>
      <c r="H21" s="1727">
        <v>365.15283000000005</v>
      </c>
      <c r="I21" s="1754">
        <v>0.0575</v>
      </c>
      <c r="J21" s="1755">
        <f t="shared" si="5"/>
        <v>91.28820750000001</v>
      </c>
      <c r="K21" s="1756">
        <v>0.0573</v>
      </c>
      <c r="L21" s="1757">
        <f t="shared" si="6"/>
        <v>90.9706833</v>
      </c>
      <c r="M21" s="1756">
        <v>0.0575</v>
      </c>
      <c r="N21" s="1757">
        <f t="shared" si="7"/>
        <v>91.28820750000001</v>
      </c>
      <c r="O21" s="1756">
        <v>0.0577</v>
      </c>
      <c r="P21" s="1757">
        <f t="shared" si="8"/>
        <v>91.6057317</v>
      </c>
      <c r="Q21" s="1760"/>
      <c r="R21" s="1757">
        <f t="shared" si="1"/>
        <v>0</v>
      </c>
      <c r="S21" s="1760"/>
      <c r="T21" s="1757">
        <f t="shared" si="2"/>
        <v>0</v>
      </c>
      <c r="U21" s="1760"/>
      <c r="V21" s="1757">
        <f t="shared" si="2"/>
        <v>0</v>
      </c>
      <c r="W21" s="1760"/>
      <c r="X21" s="1757">
        <f t="shared" si="3"/>
        <v>0</v>
      </c>
      <c r="Y21" s="1734"/>
      <c r="Z21" s="1729"/>
    </row>
    <row r="22" spans="1:26" ht="16.5" customHeight="1">
      <c r="A22" s="948">
        <f t="shared" si="4"/>
        <v>7</v>
      </c>
      <c r="B22" s="949" t="s">
        <v>77</v>
      </c>
      <c r="C22" s="950">
        <v>5</v>
      </c>
      <c r="D22" s="1724">
        <v>4</v>
      </c>
      <c r="E22" s="1730">
        <v>0.344</v>
      </c>
      <c r="F22" s="1726">
        <f t="shared" si="0"/>
        <v>546.141624</v>
      </c>
      <c r="G22" s="884">
        <v>0</v>
      </c>
      <c r="H22" s="1727">
        <v>546.141624</v>
      </c>
      <c r="I22" s="1761">
        <v>0.0859</v>
      </c>
      <c r="J22" s="1755">
        <f t="shared" si="5"/>
        <v>136.3766439</v>
      </c>
      <c r="K22" s="1756">
        <v>0.086</v>
      </c>
      <c r="L22" s="1757">
        <f t="shared" si="6"/>
        <v>136.535406</v>
      </c>
      <c r="M22" s="1756">
        <v>0.0857</v>
      </c>
      <c r="N22" s="1757">
        <f t="shared" si="7"/>
        <v>136.0591197</v>
      </c>
      <c r="O22" s="1759">
        <v>0.0864</v>
      </c>
      <c r="P22" s="1757">
        <f t="shared" si="8"/>
        <v>137.1704544</v>
      </c>
      <c r="Q22" s="1759"/>
      <c r="R22" s="1757">
        <f t="shared" si="1"/>
        <v>0</v>
      </c>
      <c r="S22" s="1759"/>
      <c r="T22" s="1757">
        <f t="shared" si="2"/>
        <v>0</v>
      </c>
      <c r="U22" s="1759"/>
      <c r="V22" s="1757">
        <f t="shared" si="2"/>
        <v>0</v>
      </c>
      <c r="W22" s="1759"/>
      <c r="X22" s="1757">
        <f t="shared" si="3"/>
        <v>0</v>
      </c>
      <c r="Y22" s="1731"/>
      <c r="Z22" s="1729"/>
    </row>
    <row r="23" spans="1:26" ht="16.5" customHeight="1">
      <c r="A23" s="948">
        <f t="shared" si="4"/>
        <v>8</v>
      </c>
      <c r="B23" s="949" t="s">
        <v>315</v>
      </c>
      <c r="C23" s="950">
        <v>3</v>
      </c>
      <c r="D23" s="1724">
        <v>2</v>
      </c>
      <c r="E23" s="1730">
        <v>0.0767</v>
      </c>
      <c r="F23" s="1726">
        <f t="shared" si="0"/>
        <v>121.77053070000001</v>
      </c>
      <c r="G23" s="884">
        <v>0</v>
      </c>
      <c r="H23" s="1727">
        <v>121.77053070000001</v>
      </c>
      <c r="I23" s="1754">
        <v>0.0382</v>
      </c>
      <c r="J23" s="1755">
        <f t="shared" si="5"/>
        <v>60.6471222</v>
      </c>
      <c r="K23" s="1756">
        <v>0.0385</v>
      </c>
      <c r="L23" s="1757">
        <f t="shared" si="6"/>
        <v>61.123408500000004</v>
      </c>
      <c r="M23" s="1756"/>
      <c r="N23" s="1757">
        <f t="shared" si="7"/>
        <v>0</v>
      </c>
      <c r="O23" s="1756"/>
      <c r="P23" s="1757">
        <f t="shared" si="8"/>
        <v>0</v>
      </c>
      <c r="Q23" s="1756"/>
      <c r="R23" s="1757">
        <f t="shared" si="1"/>
        <v>0</v>
      </c>
      <c r="S23" s="1756"/>
      <c r="T23" s="1757">
        <f t="shared" si="2"/>
        <v>0</v>
      </c>
      <c r="U23" s="1756"/>
      <c r="V23" s="1757">
        <f t="shared" si="2"/>
        <v>0</v>
      </c>
      <c r="W23" s="1756"/>
      <c r="X23" s="1757">
        <f t="shared" si="3"/>
        <v>0</v>
      </c>
      <c r="Y23" s="1732"/>
      <c r="Z23" s="1733"/>
    </row>
    <row r="24" spans="1:26" ht="16.5" customHeight="1">
      <c r="A24" s="948">
        <f t="shared" si="4"/>
        <v>9</v>
      </c>
      <c r="B24" s="949" t="s">
        <v>314</v>
      </c>
      <c r="C24" s="950">
        <v>2</v>
      </c>
      <c r="D24" s="1724">
        <v>2</v>
      </c>
      <c r="E24" s="1730">
        <v>0.0679</v>
      </c>
      <c r="F24" s="1726">
        <f t="shared" si="0"/>
        <v>107.79946590000002</v>
      </c>
      <c r="G24" s="884">
        <v>0</v>
      </c>
      <c r="H24" s="1727">
        <v>107.79946590000002</v>
      </c>
      <c r="I24" s="1754">
        <v>0.034</v>
      </c>
      <c r="J24" s="1755">
        <f t="shared" si="5"/>
        <v>53.97911400000001</v>
      </c>
      <c r="K24" s="1756">
        <v>0.0339</v>
      </c>
      <c r="L24" s="1757">
        <f t="shared" si="6"/>
        <v>53.820351900000006</v>
      </c>
      <c r="M24" s="1756"/>
      <c r="N24" s="1757">
        <f t="shared" si="7"/>
        <v>0</v>
      </c>
      <c r="O24" s="1756"/>
      <c r="P24" s="1757">
        <f t="shared" si="8"/>
        <v>0</v>
      </c>
      <c r="Q24" s="1756"/>
      <c r="R24" s="1757">
        <f t="shared" si="1"/>
        <v>0</v>
      </c>
      <c r="S24" s="1756"/>
      <c r="T24" s="1757">
        <f t="shared" si="2"/>
        <v>0</v>
      </c>
      <c r="U24" s="1756"/>
      <c r="V24" s="1757">
        <f t="shared" si="2"/>
        <v>0</v>
      </c>
      <c r="W24" s="1756"/>
      <c r="X24" s="1757">
        <f t="shared" si="3"/>
        <v>0</v>
      </c>
      <c r="Y24" s="1732"/>
      <c r="Z24" s="1733"/>
    </row>
    <row r="25" spans="1:26" ht="16.5" customHeight="1">
      <c r="A25" s="948">
        <f t="shared" si="4"/>
        <v>10</v>
      </c>
      <c r="B25" s="949" t="s">
        <v>316</v>
      </c>
      <c r="C25" s="950">
        <v>4</v>
      </c>
      <c r="D25" s="1724">
        <v>3</v>
      </c>
      <c r="E25" s="1730">
        <v>0.3057</v>
      </c>
      <c r="F25" s="1726">
        <f t="shared" si="0"/>
        <v>485.3357397000001</v>
      </c>
      <c r="G25" s="884">
        <v>0</v>
      </c>
      <c r="H25" s="1727">
        <v>485.3357397000001</v>
      </c>
      <c r="I25" s="1754">
        <v>0.1023</v>
      </c>
      <c r="J25" s="1755">
        <f t="shared" si="5"/>
        <v>162.4136283</v>
      </c>
      <c r="K25" s="1756">
        <v>0.1014</v>
      </c>
      <c r="L25" s="1757">
        <f t="shared" si="6"/>
        <v>160.9847694</v>
      </c>
      <c r="M25" s="1756">
        <v>0.102</v>
      </c>
      <c r="N25" s="1757">
        <f t="shared" si="7"/>
        <v>161.937342</v>
      </c>
      <c r="O25" s="1758"/>
      <c r="P25" s="1757">
        <f t="shared" si="8"/>
        <v>0</v>
      </c>
      <c r="Q25" s="1758"/>
      <c r="R25" s="1757">
        <f t="shared" si="1"/>
        <v>0</v>
      </c>
      <c r="S25" s="1758"/>
      <c r="T25" s="1757">
        <f t="shared" si="2"/>
        <v>0</v>
      </c>
      <c r="U25" s="1758"/>
      <c r="V25" s="1757">
        <f t="shared" si="2"/>
        <v>0</v>
      </c>
      <c r="W25" s="1758"/>
      <c r="X25" s="1757">
        <f t="shared" si="3"/>
        <v>0</v>
      </c>
      <c r="Y25" s="1728"/>
      <c r="Z25" s="1729"/>
    </row>
    <row r="26" spans="1:26" ht="16.5" customHeight="1">
      <c r="A26" s="948">
        <f t="shared" si="4"/>
        <v>11</v>
      </c>
      <c r="B26" s="949" t="s">
        <v>317</v>
      </c>
      <c r="C26" s="950">
        <v>3</v>
      </c>
      <c r="D26" s="1724">
        <v>3</v>
      </c>
      <c r="E26" s="1730">
        <v>0.235</v>
      </c>
      <c r="F26" s="1726">
        <f t="shared" si="0"/>
        <v>373.090935</v>
      </c>
      <c r="G26" s="884">
        <v>0</v>
      </c>
      <c r="H26" s="1727">
        <v>373.090935</v>
      </c>
      <c r="I26" s="1754">
        <v>0.0782</v>
      </c>
      <c r="J26" s="1755">
        <f t="shared" si="5"/>
        <v>124.15196220000001</v>
      </c>
      <c r="K26" s="1756">
        <v>0.0783</v>
      </c>
      <c r="L26" s="1757">
        <f t="shared" si="6"/>
        <v>124.3107243</v>
      </c>
      <c r="M26" s="1756">
        <v>0.0785</v>
      </c>
      <c r="N26" s="1757">
        <f t="shared" si="7"/>
        <v>124.62824850000001</v>
      </c>
      <c r="O26" s="1758"/>
      <c r="P26" s="1757">
        <f t="shared" si="8"/>
        <v>0</v>
      </c>
      <c r="Q26" s="1758"/>
      <c r="R26" s="1757">
        <f t="shared" si="1"/>
        <v>0</v>
      </c>
      <c r="S26" s="1758"/>
      <c r="T26" s="1757">
        <f t="shared" si="2"/>
        <v>0</v>
      </c>
      <c r="U26" s="1758"/>
      <c r="V26" s="1757">
        <f t="shared" si="2"/>
        <v>0</v>
      </c>
      <c r="W26" s="1758"/>
      <c r="X26" s="1757">
        <f t="shared" si="3"/>
        <v>0</v>
      </c>
      <c r="Y26" s="1728"/>
      <c r="Z26" s="1729"/>
    </row>
    <row r="27" spans="1:26" ht="16.5" customHeight="1">
      <c r="A27" s="948">
        <f t="shared" si="4"/>
        <v>12</v>
      </c>
      <c r="B27" s="949" t="s">
        <v>318</v>
      </c>
      <c r="C27" s="950">
        <v>2</v>
      </c>
      <c r="D27" s="1724">
        <v>2</v>
      </c>
      <c r="E27" s="1730">
        <v>0.0494</v>
      </c>
      <c r="F27" s="1726">
        <f t="shared" si="0"/>
        <v>78.4284774</v>
      </c>
      <c r="G27" s="884">
        <v>0</v>
      </c>
      <c r="H27" s="1727">
        <v>78.4284774</v>
      </c>
      <c r="I27" s="1754">
        <v>0.0249</v>
      </c>
      <c r="J27" s="1755">
        <f t="shared" si="5"/>
        <v>39.5317629</v>
      </c>
      <c r="K27" s="1756">
        <v>0.0245</v>
      </c>
      <c r="L27" s="1757">
        <f t="shared" si="6"/>
        <v>38.8967145</v>
      </c>
      <c r="M27" s="1756"/>
      <c r="N27" s="1757">
        <f t="shared" si="7"/>
        <v>0</v>
      </c>
      <c r="O27" s="1756"/>
      <c r="P27" s="1757">
        <f t="shared" si="8"/>
        <v>0</v>
      </c>
      <c r="Q27" s="1756"/>
      <c r="R27" s="1757">
        <f t="shared" si="1"/>
        <v>0</v>
      </c>
      <c r="S27" s="1756"/>
      <c r="T27" s="1757">
        <f t="shared" si="2"/>
        <v>0</v>
      </c>
      <c r="U27" s="1756"/>
      <c r="V27" s="1757">
        <f t="shared" si="2"/>
        <v>0</v>
      </c>
      <c r="W27" s="1756"/>
      <c r="X27" s="1757">
        <f t="shared" si="3"/>
        <v>0</v>
      </c>
      <c r="Y27" s="1732"/>
      <c r="Z27" s="1735"/>
    </row>
    <row r="28" spans="1:26" ht="16.5" customHeight="1">
      <c r="A28" s="948">
        <f t="shared" si="4"/>
        <v>13</v>
      </c>
      <c r="B28" s="949" t="s">
        <v>319</v>
      </c>
      <c r="C28" s="950">
        <v>2</v>
      </c>
      <c r="D28" s="1724">
        <v>2</v>
      </c>
      <c r="E28" s="1730">
        <v>0.0514</v>
      </c>
      <c r="F28" s="1726">
        <f t="shared" si="0"/>
        <v>81.6037194</v>
      </c>
      <c r="G28" s="884">
        <v>0</v>
      </c>
      <c r="H28" s="1727">
        <v>81.6037194</v>
      </c>
      <c r="I28" s="1754">
        <v>0.02575</v>
      </c>
      <c r="J28" s="1755">
        <f t="shared" si="5"/>
        <v>40.88124075</v>
      </c>
      <c r="K28" s="1756">
        <v>0.02565</v>
      </c>
      <c r="L28" s="1757">
        <f t="shared" si="6"/>
        <v>40.72247865</v>
      </c>
      <c r="M28" s="1756"/>
      <c r="N28" s="1757">
        <f t="shared" si="7"/>
        <v>0</v>
      </c>
      <c r="O28" s="1756"/>
      <c r="P28" s="1757">
        <f t="shared" si="8"/>
        <v>0</v>
      </c>
      <c r="Q28" s="1756"/>
      <c r="R28" s="1757">
        <f t="shared" si="1"/>
        <v>0</v>
      </c>
      <c r="S28" s="1756"/>
      <c r="T28" s="1757">
        <f t="shared" si="2"/>
        <v>0</v>
      </c>
      <c r="U28" s="1756"/>
      <c r="V28" s="1757">
        <f t="shared" si="2"/>
        <v>0</v>
      </c>
      <c r="W28" s="1756"/>
      <c r="X28" s="1757">
        <f t="shared" si="3"/>
        <v>0</v>
      </c>
      <c r="Y28" s="1732"/>
      <c r="Z28" s="1735"/>
    </row>
    <row r="29" spans="1:26" s="20" customFormat="1" ht="16.5" customHeight="1">
      <c r="A29" s="948">
        <f t="shared" si="4"/>
        <v>14</v>
      </c>
      <c r="B29" s="949" t="s">
        <v>320</v>
      </c>
      <c r="C29" s="950">
        <v>2</v>
      </c>
      <c r="D29" s="1724">
        <v>2</v>
      </c>
      <c r="E29" s="1730">
        <v>0.0683</v>
      </c>
      <c r="F29" s="1726">
        <f t="shared" si="0"/>
        <v>108.4345143</v>
      </c>
      <c r="G29" s="884">
        <v>0</v>
      </c>
      <c r="H29" s="1727">
        <v>108.4345143</v>
      </c>
      <c r="I29" s="1754">
        <v>0.0341</v>
      </c>
      <c r="J29" s="1755">
        <f t="shared" si="5"/>
        <v>54.1378761</v>
      </c>
      <c r="K29" s="1756">
        <v>0.0342</v>
      </c>
      <c r="L29" s="1757">
        <f t="shared" si="6"/>
        <v>54.296638200000004</v>
      </c>
      <c r="M29" s="1756"/>
      <c r="N29" s="1757">
        <f t="shared" si="7"/>
        <v>0</v>
      </c>
      <c r="O29" s="1756"/>
      <c r="P29" s="1757">
        <f t="shared" si="8"/>
        <v>0</v>
      </c>
      <c r="Q29" s="1756"/>
      <c r="R29" s="1757">
        <f t="shared" si="1"/>
        <v>0</v>
      </c>
      <c r="S29" s="1756"/>
      <c r="T29" s="1757">
        <f t="shared" si="2"/>
        <v>0</v>
      </c>
      <c r="U29" s="1756"/>
      <c r="V29" s="1757">
        <f t="shared" si="2"/>
        <v>0</v>
      </c>
      <c r="W29" s="1756"/>
      <c r="X29" s="1757">
        <f t="shared" si="3"/>
        <v>0</v>
      </c>
      <c r="Y29" s="1732"/>
      <c r="Z29" s="1733"/>
    </row>
    <row r="30" spans="1:26" s="20" customFormat="1" ht="16.5" customHeight="1">
      <c r="A30" s="948">
        <f t="shared" si="4"/>
        <v>15</v>
      </c>
      <c r="B30" s="949" t="s">
        <v>321</v>
      </c>
      <c r="C30" s="950">
        <v>2</v>
      </c>
      <c r="D30" s="1724">
        <v>2</v>
      </c>
      <c r="E30" s="1730">
        <v>0.053</v>
      </c>
      <c r="F30" s="1726">
        <f t="shared" si="0"/>
        <v>84.143913</v>
      </c>
      <c r="G30" s="884">
        <v>0</v>
      </c>
      <c r="H30" s="1727">
        <v>84.143913</v>
      </c>
      <c r="I30" s="1754">
        <v>0.0266</v>
      </c>
      <c r="J30" s="1755">
        <f t="shared" si="5"/>
        <v>42.2307186</v>
      </c>
      <c r="K30" s="1756">
        <v>0.0264</v>
      </c>
      <c r="L30" s="1757">
        <f t="shared" si="6"/>
        <v>41.9131944</v>
      </c>
      <c r="M30" s="1756"/>
      <c r="N30" s="1757">
        <f t="shared" si="7"/>
        <v>0</v>
      </c>
      <c r="O30" s="1756"/>
      <c r="P30" s="1757">
        <f t="shared" si="8"/>
        <v>0</v>
      </c>
      <c r="Q30" s="1756"/>
      <c r="R30" s="1757">
        <f t="shared" si="1"/>
        <v>0</v>
      </c>
      <c r="S30" s="1756"/>
      <c r="T30" s="1757">
        <f t="shared" si="2"/>
        <v>0</v>
      </c>
      <c r="U30" s="1756"/>
      <c r="V30" s="1757">
        <f t="shared" si="2"/>
        <v>0</v>
      </c>
      <c r="W30" s="1756"/>
      <c r="X30" s="1757">
        <f t="shared" si="3"/>
        <v>0</v>
      </c>
      <c r="Y30" s="1732"/>
      <c r="Z30" s="1733"/>
    </row>
    <row r="31" spans="1:26" ht="16.5" customHeight="1">
      <c r="A31" s="948">
        <f t="shared" si="4"/>
        <v>16</v>
      </c>
      <c r="B31" s="949" t="s">
        <v>322</v>
      </c>
      <c r="C31" s="950">
        <v>3</v>
      </c>
      <c r="D31" s="1724">
        <v>2</v>
      </c>
      <c r="E31" s="1730">
        <v>0.0726</v>
      </c>
      <c r="F31" s="1726">
        <f t="shared" si="0"/>
        <v>115.26128460000001</v>
      </c>
      <c r="G31" s="884">
        <v>0</v>
      </c>
      <c r="H31" s="1727">
        <v>115.26128460000001</v>
      </c>
      <c r="I31" s="1754">
        <v>0.0363</v>
      </c>
      <c r="J31" s="1755">
        <f t="shared" si="5"/>
        <v>57.630642300000005</v>
      </c>
      <c r="K31" s="1756">
        <v>0.0363</v>
      </c>
      <c r="L31" s="1757">
        <f t="shared" si="6"/>
        <v>57.630642300000005</v>
      </c>
      <c r="M31" s="1756"/>
      <c r="N31" s="1757">
        <f t="shared" si="7"/>
        <v>0</v>
      </c>
      <c r="O31" s="1758"/>
      <c r="P31" s="1757">
        <f t="shared" si="8"/>
        <v>0</v>
      </c>
      <c r="Q31" s="1758"/>
      <c r="R31" s="1757">
        <f t="shared" si="1"/>
        <v>0</v>
      </c>
      <c r="S31" s="1758"/>
      <c r="T31" s="1757">
        <f t="shared" si="2"/>
        <v>0</v>
      </c>
      <c r="U31" s="1758"/>
      <c r="V31" s="1757">
        <f t="shared" si="2"/>
        <v>0</v>
      </c>
      <c r="W31" s="1758"/>
      <c r="X31" s="1757">
        <f t="shared" si="3"/>
        <v>0</v>
      </c>
      <c r="Y31" s="1728"/>
      <c r="Z31" s="1729"/>
    </row>
    <row r="32" spans="1:26" ht="16.5" customHeight="1">
      <c r="A32" s="948">
        <f t="shared" si="4"/>
        <v>17</v>
      </c>
      <c r="B32" s="949" t="s">
        <v>324</v>
      </c>
      <c r="C32" s="950">
        <v>4</v>
      </c>
      <c r="D32" s="1724">
        <v>4</v>
      </c>
      <c r="E32" s="1730">
        <v>0.3912</v>
      </c>
      <c r="F32" s="1726">
        <f t="shared" si="0"/>
        <v>621.0773352</v>
      </c>
      <c r="G32" s="884">
        <v>0</v>
      </c>
      <c r="H32" s="1727">
        <v>621.0773352</v>
      </c>
      <c r="I32" s="1754">
        <v>0.0972</v>
      </c>
      <c r="J32" s="1755">
        <f t="shared" si="5"/>
        <v>154.3167612</v>
      </c>
      <c r="K32" s="1756">
        <v>0.0989</v>
      </c>
      <c r="L32" s="1757">
        <f t="shared" si="6"/>
        <v>157.0157169</v>
      </c>
      <c r="M32" s="1756">
        <v>0.0977</v>
      </c>
      <c r="N32" s="1757">
        <f t="shared" si="7"/>
        <v>155.1105717</v>
      </c>
      <c r="O32" s="1756">
        <v>0.0974</v>
      </c>
      <c r="P32" s="1757">
        <f t="shared" si="8"/>
        <v>154.6342854</v>
      </c>
      <c r="Q32" s="1756"/>
      <c r="R32" s="1757">
        <f t="shared" si="1"/>
        <v>0</v>
      </c>
      <c r="S32" s="1756"/>
      <c r="T32" s="1757">
        <f aca="true" t="shared" si="9" ref="T32:T47">S32*1587.621</f>
        <v>0</v>
      </c>
      <c r="U32" s="1756"/>
      <c r="V32" s="1757">
        <f aca="true" t="shared" si="10" ref="V32:V47">U32*1587.621</f>
        <v>0</v>
      </c>
      <c r="W32" s="1756"/>
      <c r="X32" s="1757">
        <f t="shared" si="3"/>
        <v>0</v>
      </c>
      <c r="Y32" s="1732"/>
      <c r="Z32" s="1733"/>
    </row>
    <row r="33" spans="1:26" ht="16.5" customHeight="1">
      <c r="A33" s="948">
        <f t="shared" si="4"/>
        <v>18</v>
      </c>
      <c r="B33" s="949" t="s">
        <v>258</v>
      </c>
      <c r="C33" s="950">
        <v>9</v>
      </c>
      <c r="D33" s="1724">
        <v>8</v>
      </c>
      <c r="E33" s="1730">
        <v>1.626</v>
      </c>
      <c r="F33" s="1726">
        <f t="shared" si="0"/>
        <v>2581.471746</v>
      </c>
      <c r="G33" s="884">
        <v>0</v>
      </c>
      <c r="H33" s="1727">
        <v>2581.471746</v>
      </c>
      <c r="I33" s="1754">
        <v>0.203</v>
      </c>
      <c r="J33" s="1755">
        <f t="shared" si="5"/>
        <v>322.28706300000005</v>
      </c>
      <c r="K33" s="1756">
        <v>0.2031</v>
      </c>
      <c r="L33" s="1757">
        <f t="shared" si="6"/>
        <v>322.44582510000004</v>
      </c>
      <c r="M33" s="1756">
        <v>0.2032</v>
      </c>
      <c r="N33" s="1757">
        <f t="shared" si="7"/>
        <v>322.6045872</v>
      </c>
      <c r="O33" s="1756">
        <v>0.2031</v>
      </c>
      <c r="P33" s="1757">
        <f t="shared" si="8"/>
        <v>322.44582510000004</v>
      </c>
      <c r="Q33" s="1762">
        <v>0.20345</v>
      </c>
      <c r="R33" s="1757">
        <f t="shared" si="1"/>
        <v>323.00149245</v>
      </c>
      <c r="S33" s="1762">
        <v>0.2033</v>
      </c>
      <c r="T33" s="1757">
        <f t="shared" si="9"/>
        <v>322.7633493</v>
      </c>
      <c r="U33" s="1762">
        <v>0.20335</v>
      </c>
      <c r="V33" s="1757">
        <f t="shared" si="10"/>
        <v>322.84273035</v>
      </c>
      <c r="W33" s="1762">
        <v>0.2035</v>
      </c>
      <c r="X33" s="1757">
        <f t="shared" si="3"/>
        <v>323.0808735</v>
      </c>
      <c r="Y33" s="1736"/>
      <c r="Z33" s="1729"/>
    </row>
    <row r="34" spans="1:26" ht="16.5" customHeight="1">
      <c r="A34" s="948">
        <f t="shared" si="4"/>
        <v>19</v>
      </c>
      <c r="B34" s="949" t="s">
        <v>163</v>
      </c>
      <c r="C34" s="950">
        <v>9</v>
      </c>
      <c r="D34" s="1724">
        <v>2</v>
      </c>
      <c r="E34" s="1730">
        <v>0.5174</v>
      </c>
      <c r="F34" s="1726">
        <f t="shared" si="0"/>
        <v>821.4351054</v>
      </c>
      <c r="G34" s="884">
        <v>0</v>
      </c>
      <c r="H34" s="1727">
        <v>821.4351054</v>
      </c>
      <c r="I34" s="1754">
        <v>0.25865</v>
      </c>
      <c r="J34" s="1755">
        <f t="shared" si="5"/>
        <v>410.63817165</v>
      </c>
      <c r="K34" s="1756">
        <v>0.25875</v>
      </c>
      <c r="L34" s="1757">
        <f t="shared" si="6"/>
        <v>410.79693375</v>
      </c>
      <c r="M34" s="1756"/>
      <c r="N34" s="1757">
        <f t="shared" si="7"/>
        <v>0</v>
      </c>
      <c r="O34" s="1756"/>
      <c r="P34" s="1757">
        <f t="shared" si="8"/>
        <v>0</v>
      </c>
      <c r="Q34" s="1756"/>
      <c r="R34" s="1757">
        <f t="shared" si="1"/>
        <v>0</v>
      </c>
      <c r="S34" s="1756"/>
      <c r="T34" s="1757">
        <f t="shared" si="9"/>
        <v>0</v>
      </c>
      <c r="U34" s="1756"/>
      <c r="V34" s="1757">
        <f t="shared" si="10"/>
        <v>0</v>
      </c>
      <c r="W34" s="1756"/>
      <c r="X34" s="1757">
        <f t="shared" si="3"/>
        <v>0</v>
      </c>
      <c r="Y34" s="1732"/>
      <c r="Z34" s="1733"/>
    </row>
    <row r="35" spans="1:26" ht="16.5" customHeight="1">
      <c r="A35" s="948">
        <f t="shared" si="4"/>
        <v>20</v>
      </c>
      <c r="B35" s="949" t="s">
        <v>267</v>
      </c>
      <c r="C35" s="950">
        <v>4</v>
      </c>
      <c r="D35" s="1724">
        <v>2</v>
      </c>
      <c r="E35" s="1730">
        <v>0.1129</v>
      </c>
      <c r="F35" s="1726">
        <f t="shared" si="0"/>
        <v>179.2424109</v>
      </c>
      <c r="G35" s="884">
        <v>0</v>
      </c>
      <c r="H35" s="1727">
        <v>179.2424109</v>
      </c>
      <c r="I35" s="1761">
        <v>0.0564</v>
      </c>
      <c r="J35" s="1755">
        <f t="shared" si="5"/>
        <v>89.54182440000001</v>
      </c>
      <c r="K35" s="1756">
        <v>0.0565</v>
      </c>
      <c r="L35" s="1757">
        <f t="shared" si="6"/>
        <v>89.70058650000001</v>
      </c>
      <c r="M35" s="1756"/>
      <c r="N35" s="1757">
        <f t="shared" si="7"/>
        <v>0</v>
      </c>
      <c r="O35" s="1762"/>
      <c r="P35" s="1757">
        <f t="shared" si="8"/>
        <v>0</v>
      </c>
      <c r="Q35" s="1762"/>
      <c r="R35" s="1757">
        <f t="shared" si="1"/>
        <v>0</v>
      </c>
      <c r="S35" s="1762"/>
      <c r="T35" s="1757">
        <f t="shared" si="9"/>
        <v>0</v>
      </c>
      <c r="U35" s="1762"/>
      <c r="V35" s="1757">
        <f t="shared" si="10"/>
        <v>0</v>
      </c>
      <c r="W35" s="1762"/>
      <c r="X35" s="1757">
        <f t="shared" si="3"/>
        <v>0</v>
      </c>
      <c r="Y35" s="1736"/>
      <c r="Z35" s="1729"/>
    </row>
    <row r="36" spans="1:26" ht="16.5" customHeight="1">
      <c r="A36" s="948">
        <f t="shared" si="4"/>
        <v>21</v>
      </c>
      <c r="B36" s="949" t="s">
        <v>246</v>
      </c>
      <c r="C36" s="950">
        <v>3</v>
      </c>
      <c r="D36" s="1724">
        <v>2</v>
      </c>
      <c r="E36" s="1730">
        <v>0.0826</v>
      </c>
      <c r="F36" s="1726">
        <f t="shared" si="0"/>
        <v>131.13749460000003</v>
      </c>
      <c r="G36" s="884">
        <v>0</v>
      </c>
      <c r="H36" s="1727">
        <v>131.13749460000003</v>
      </c>
      <c r="I36" s="1754">
        <v>0.04124</v>
      </c>
      <c r="J36" s="1755">
        <f t="shared" si="5"/>
        <v>65.47349004</v>
      </c>
      <c r="K36" s="1756">
        <v>0.04136</v>
      </c>
      <c r="L36" s="1757">
        <f t="shared" si="6"/>
        <v>65.66400456000001</v>
      </c>
      <c r="M36" s="1756"/>
      <c r="N36" s="1757">
        <f t="shared" si="7"/>
        <v>0</v>
      </c>
      <c r="O36" s="1759"/>
      <c r="P36" s="1757">
        <f t="shared" si="8"/>
        <v>0</v>
      </c>
      <c r="Q36" s="1759"/>
      <c r="R36" s="1757">
        <f t="shared" si="1"/>
        <v>0</v>
      </c>
      <c r="S36" s="1759"/>
      <c r="T36" s="1757">
        <f t="shared" si="9"/>
        <v>0</v>
      </c>
      <c r="U36" s="1759"/>
      <c r="V36" s="1757">
        <f t="shared" si="10"/>
        <v>0</v>
      </c>
      <c r="W36" s="1758"/>
      <c r="X36" s="1757">
        <f t="shared" si="3"/>
        <v>0</v>
      </c>
      <c r="Y36" s="1728"/>
      <c r="Z36" s="1729"/>
    </row>
    <row r="37" spans="1:26" ht="16.5" customHeight="1">
      <c r="A37" s="948">
        <f t="shared" si="4"/>
        <v>22</v>
      </c>
      <c r="B37" s="949" t="s">
        <v>327</v>
      </c>
      <c r="C37" s="950">
        <v>5</v>
      </c>
      <c r="D37" s="1724">
        <v>8</v>
      </c>
      <c r="E37" s="1730">
        <v>0.4962</v>
      </c>
      <c r="F37" s="1726">
        <f t="shared" si="0"/>
        <v>787.7775402</v>
      </c>
      <c r="G37" s="884">
        <v>0</v>
      </c>
      <c r="H37" s="1727">
        <v>787.7775402</v>
      </c>
      <c r="I37" s="1754">
        <v>0.062</v>
      </c>
      <c r="J37" s="1755">
        <f t="shared" si="5"/>
        <v>98.432502</v>
      </c>
      <c r="K37" s="1756">
        <v>0.0621</v>
      </c>
      <c r="L37" s="1757">
        <f t="shared" si="6"/>
        <v>98.5912641</v>
      </c>
      <c r="M37" s="1756">
        <v>0.062</v>
      </c>
      <c r="N37" s="1757">
        <f t="shared" si="7"/>
        <v>98.432502</v>
      </c>
      <c r="O37" s="1763">
        <v>0.0621</v>
      </c>
      <c r="P37" s="1757">
        <f t="shared" si="8"/>
        <v>98.5912641</v>
      </c>
      <c r="Q37" s="1763">
        <v>0.0619</v>
      </c>
      <c r="R37" s="1757">
        <f t="shared" si="1"/>
        <v>98.2737399</v>
      </c>
      <c r="S37" s="1763">
        <v>0.062</v>
      </c>
      <c r="T37" s="1757">
        <f t="shared" si="9"/>
        <v>98.432502</v>
      </c>
      <c r="U37" s="1763">
        <v>0.0621</v>
      </c>
      <c r="V37" s="1757">
        <f t="shared" si="10"/>
        <v>98.5912641</v>
      </c>
      <c r="W37" s="1756">
        <v>0.062</v>
      </c>
      <c r="X37" s="1757">
        <f t="shared" si="3"/>
        <v>98.432502</v>
      </c>
      <c r="Y37" s="1732"/>
      <c r="Z37" s="1733"/>
    </row>
    <row r="38" spans="1:26" ht="16.5" customHeight="1">
      <c r="A38" s="948">
        <f t="shared" si="4"/>
        <v>23</v>
      </c>
      <c r="B38" s="949" t="s">
        <v>326</v>
      </c>
      <c r="C38" s="950">
        <v>3</v>
      </c>
      <c r="D38" s="1724">
        <v>2</v>
      </c>
      <c r="E38" s="1730">
        <v>0.072</v>
      </c>
      <c r="F38" s="1726">
        <f t="shared" si="0"/>
        <v>114.308712</v>
      </c>
      <c r="G38" s="884">
        <v>0</v>
      </c>
      <c r="H38" s="1727">
        <v>114.308712</v>
      </c>
      <c r="I38" s="1754">
        <v>0.0361</v>
      </c>
      <c r="J38" s="1755">
        <f t="shared" si="5"/>
        <v>57.313118100000004</v>
      </c>
      <c r="K38" s="1756">
        <v>0.0359</v>
      </c>
      <c r="L38" s="1757">
        <f t="shared" si="6"/>
        <v>56.9955939</v>
      </c>
      <c r="M38" s="1756"/>
      <c r="N38" s="1757">
        <f t="shared" si="7"/>
        <v>0</v>
      </c>
      <c r="O38" s="1759"/>
      <c r="P38" s="1757">
        <f t="shared" si="8"/>
        <v>0</v>
      </c>
      <c r="Q38" s="1759"/>
      <c r="R38" s="1757">
        <f t="shared" si="1"/>
        <v>0</v>
      </c>
      <c r="S38" s="1759"/>
      <c r="T38" s="1757">
        <f t="shared" si="9"/>
        <v>0</v>
      </c>
      <c r="U38" s="1759"/>
      <c r="V38" s="1757">
        <f t="shared" si="10"/>
        <v>0</v>
      </c>
      <c r="W38" s="1758"/>
      <c r="X38" s="1757">
        <f t="shared" si="3"/>
        <v>0</v>
      </c>
      <c r="Y38" s="1728"/>
      <c r="Z38" s="1729"/>
    </row>
    <row r="39" spans="1:26" s="20" customFormat="1" ht="16.5" customHeight="1">
      <c r="A39" s="948">
        <f t="shared" si="4"/>
        <v>24</v>
      </c>
      <c r="B39" s="949" t="s">
        <v>309</v>
      </c>
      <c r="C39" s="950">
        <v>2</v>
      </c>
      <c r="D39" s="1724">
        <v>2</v>
      </c>
      <c r="E39" s="1730">
        <v>0.05</v>
      </c>
      <c r="F39" s="1726">
        <f t="shared" si="0"/>
        <v>79.38105000000002</v>
      </c>
      <c r="G39" s="884">
        <v>0</v>
      </c>
      <c r="H39" s="1727">
        <v>79.38105000000002</v>
      </c>
      <c r="I39" s="1761">
        <v>0.0249</v>
      </c>
      <c r="J39" s="1755">
        <f t="shared" si="5"/>
        <v>39.5317629</v>
      </c>
      <c r="K39" s="1756">
        <v>0.0251</v>
      </c>
      <c r="L39" s="1757">
        <f t="shared" si="6"/>
        <v>39.849287100000005</v>
      </c>
      <c r="M39" s="1756"/>
      <c r="N39" s="1757">
        <f t="shared" si="7"/>
        <v>0</v>
      </c>
      <c r="O39" s="1762"/>
      <c r="P39" s="1757">
        <f t="shared" si="8"/>
        <v>0</v>
      </c>
      <c r="Q39" s="1762"/>
      <c r="R39" s="1757">
        <f t="shared" si="1"/>
        <v>0</v>
      </c>
      <c r="S39" s="1762"/>
      <c r="T39" s="1757">
        <f t="shared" si="9"/>
        <v>0</v>
      </c>
      <c r="U39" s="1762"/>
      <c r="V39" s="1757">
        <f t="shared" si="10"/>
        <v>0</v>
      </c>
      <c r="W39" s="1762"/>
      <c r="X39" s="1757">
        <f t="shared" si="3"/>
        <v>0</v>
      </c>
      <c r="Y39" s="1736"/>
      <c r="Z39" s="1729"/>
    </row>
    <row r="40" spans="1:26" ht="16.5" customHeight="1">
      <c r="A40" s="948">
        <f t="shared" si="4"/>
        <v>25</v>
      </c>
      <c r="B40" s="949" t="s">
        <v>66</v>
      </c>
      <c r="C40" s="950">
        <v>2</v>
      </c>
      <c r="D40" s="1724">
        <v>2</v>
      </c>
      <c r="E40" s="1730">
        <v>0.041</v>
      </c>
      <c r="F40" s="1726">
        <f t="shared" si="0"/>
        <v>65.092461</v>
      </c>
      <c r="G40" s="884">
        <v>0</v>
      </c>
      <c r="H40" s="1727">
        <v>65.092461</v>
      </c>
      <c r="I40" s="1761">
        <v>0.0207</v>
      </c>
      <c r="J40" s="1755">
        <f t="shared" si="5"/>
        <v>32.8637547</v>
      </c>
      <c r="K40" s="1756">
        <v>0.0203</v>
      </c>
      <c r="L40" s="1757">
        <f t="shared" si="6"/>
        <v>32.2287063</v>
      </c>
      <c r="M40" s="1756"/>
      <c r="N40" s="1757">
        <f t="shared" si="7"/>
        <v>0</v>
      </c>
      <c r="O40" s="1762"/>
      <c r="P40" s="1757">
        <f t="shared" si="8"/>
        <v>0</v>
      </c>
      <c r="Q40" s="1762"/>
      <c r="R40" s="1757">
        <f t="shared" si="1"/>
        <v>0</v>
      </c>
      <c r="S40" s="1762"/>
      <c r="T40" s="1757">
        <f t="shared" si="9"/>
        <v>0</v>
      </c>
      <c r="U40" s="1762"/>
      <c r="V40" s="1757">
        <f t="shared" si="10"/>
        <v>0</v>
      </c>
      <c r="W40" s="1762"/>
      <c r="X40" s="1757">
        <f t="shared" si="3"/>
        <v>0</v>
      </c>
      <c r="Y40" s="1736"/>
      <c r="Z40" s="1729"/>
    </row>
    <row r="41" spans="1:26" ht="16.5" customHeight="1">
      <c r="A41" s="948">
        <f t="shared" si="4"/>
        <v>26</v>
      </c>
      <c r="B41" s="949" t="s">
        <v>140</v>
      </c>
      <c r="C41" s="950">
        <v>4</v>
      </c>
      <c r="D41" s="1724">
        <v>3</v>
      </c>
      <c r="E41" s="1730">
        <v>0.1563</v>
      </c>
      <c r="F41" s="1726">
        <f t="shared" si="0"/>
        <v>248.1451623</v>
      </c>
      <c r="G41" s="884">
        <v>0</v>
      </c>
      <c r="H41" s="1727">
        <v>248.1451623</v>
      </c>
      <c r="I41" s="1754">
        <v>0.052</v>
      </c>
      <c r="J41" s="1755">
        <f t="shared" si="5"/>
        <v>82.556292</v>
      </c>
      <c r="K41" s="1756">
        <v>0.0521</v>
      </c>
      <c r="L41" s="1757">
        <f t="shared" si="6"/>
        <v>82.7150541</v>
      </c>
      <c r="M41" s="1756">
        <v>0.0522</v>
      </c>
      <c r="N41" s="1757">
        <f t="shared" si="7"/>
        <v>82.87381620000001</v>
      </c>
      <c r="O41" s="1758"/>
      <c r="P41" s="1757">
        <f t="shared" si="8"/>
        <v>0</v>
      </c>
      <c r="Q41" s="1758"/>
      <c r="R41" s="1757">
        <f t="shared" si="1"/>
        <v>0</v>
      </c>
      <c r="S41" s="1758"/>
      <c r="T41" s="1757">
        <f t="shared" si="9"/>
        <v>0</v>
      </c>
      <c r="U41" s="1758"/>
      <c r="V41" s="1757">
        <f t="shared" si="10"/>
        <v>0</v>
      </c>
      <c r="W41" s="1758"/>
      <c r="X41" s="1757">
        <f t="shared" si="3"/>
        <v>0</v>
      </c>
      <c r="Y41" s="1728"/>
      <c r="Z41" s="1729"/>
    </row>
    <row r="42" spans="1:26" ht="16.5" customHeight="1">
      <c r="A42" s="948">
        <f t="shared" si="4"/>
        <v>27</v>
      </c>
      <c r="B42" s="949" t="s">
        <v>328</v>
      </c>
      <c r="C42" s="950">
        <v>5</v>
      </c>
      <c r="D42" s="1724">
        <v>3</v>
      </c>
      <c r="E42" s="1730">
        <v>0.249</v>
      </c>
      <c r="F42" s="1726">
        <f t="shared" si="0"/>
        <v>395.317629</v>
      </c>
      <c r="G42" s="884">
        <v>0</v>
      </c>
      <c r="H42" s="1727">
        <v>395.317629</v>
      </c>
      <c r="I42" s="1761">
        <v>0.083</v>
      </c>
      <c r="J42" s="1755">
        <f t="shared" si="5"/>
        <v>131.772543</v>
      </c>
      <c r="K42" s="1756">
        <v>0.0827</v>
      </c>
      <c r="L42" s="1757">
        <f t="shared" si="6"/>
        <v>131.29625670000001</v>
      </c>
      <c r="M42" s="1756">
        <v>0.0833</v>
      </c>
      <c r="N42" s="1757">
        <f t="shared" si="7"/>
        <v>132.2488293</v>
      </c>
      <c r="O42" s="1758"/>
      <c r="P42" s="1757">
        <f t="shared" si="8"/>
        <v>0</v>
      </c>
      <c r="Q42" s="1758"/>
      <c r="R42" s="1757">
        <f t="shared" si="1"/>
        <v>0</v>
      </c>
      <c r="S42" s="1758"/>
      <c r="T42" s="1757">
        <f t="shared" si="9"/>
        <v>0</v>
      </c>
      <c r="U42" s="1758"/>
      <c r="V42" s="1757">
        <f t="shared" si="10"/>
        <v>0</v>
      </c>
      <c r="W42" s="1758"/>
      <c r="X42" s="1757">
        <f t="shared" si="3"/>
        <v>0</v>
      </c>
      <c r="Y42" s="1728"/>
      <c r="Z42" s="1733"/>
    </row>
    <row r="43" spans="1:26" ht="16.5" customHeight="1">
      <c r="A43" s="948">
        <f t="shared" si="4"/>
        <v>28</v>
      </c>
      <c r="B43" s="949" t="s">
        <v>91</v>
      </c>
      <c r="C43" s="950">
        <v>5</v>
      </c>
      <c r="D43" s="1724">
        <v>4</v>
      </c>
      <c r="E43" s="1730">
        <v>0.4485</v>
      </c>
      <c r="F43" s="1726">
        <f t="shared" si="0"/>
        <v>712.0480185</v>
      </c>
      <c r="G43" s="884">
        <v>0</v>
      </c>
      <c r="H43" s="1727">
        <v>712.0480185</v>
      </c>
      <c r="I43" s="1754">
        <v>0.112</v>
      </c>
      <c r="J43" s="1755">
        <f t="shared" si="5"/>
        <v>177.81355200000002</v>
      </c>
      <c r="K43" s="1756">
        <v>0.1125</v>
      </c>
      <c r="L43" s="1757">
        <f t="shared" si="6"/>
        <v>178.60736250000002</v>
      </c>
      <c r="M43" s="1756">
        <v>0.1125</v>
      </c>
      <c r="N43" s="1757">
        <f t="shared" si="7"/>
        <v>178.60736250000002</v>
      </c>
      <c r="O43" s="1764">
        <v>0.1115</v>
      </c>
      <c r="P43" s="1757">
        <f t="shared" si="8"/>
        <v>177.0197415</v>
      </c>
      <c r="Q43" s="1764"/>
      <c r="R43" s="1757">
        <f t="shared" si="1"/>
        <v>0</v>
      </c>
      <c r="S43" s="1764"/>
      <c r="T43" s="1757">
        <f t="shared" si="9"/>
        <v>0</v>
      </c>
      <c r="U43" s="1764"/>
      <c r="V43" s="1757">
        <f t="shared" si="10"/>
        <v>0</v>
      </c>
      <c r="W43" s="1764"/>
      <c r="X43" s="1757">
        <f t="shared" si="3"/>
        <v>0</v>
      </c>
      <c r="Y43" s="1737"/>
      <c r="Z43" s="1729"/>
    </row>
    <row r="44" spans="1:26" ht="16.5" customHeight="1">
      <c r="A44" s="948">
        <f t="shared" si="4"/>
        <v>29</v>
      </c>
      <c r="B44" s="949" t="s">
        <v>310</v>
      </c>
      <c r="C44" s="950">
        <v>5</v>
      </c>
      <c r="D44" s="1724">
        <v>6</v>
      </c>
      <c r="E44" s="1730">
        <v>0.449</v>
      </c>
      <c r="F44" s="1726">
        <f t="shared" si="0"/>
        <v>712.8418290000001</v>
      </c>
      <c r="G44" s="884">
        <v>0</v>
      </c>
      <c r="H44" s="1727">
        <v>712.8418290000001</v>
      </c>
      <c r="I44" s="1754">
        <v>0.0745</v>
      </c>
      <c r="J44" s="1755">
        <f t="shared" si="5"/>
        <v>118.2777645</v>
      </c>
      <c r="K44" s="1756">
        <v>0.0747</v>
      </c>
      <c r="L44" s="1757">
        <f t="shared" si="6"/>
        <v>118.59528870000001</v>
      </c>
      <c r="M44" s="1756">
        <v>0.0748</v>
      </c>
      <c r="N44" s="1757">
        <f t="shared" si="7"/>
        <v>118.75405080000002</v>
      </c>
      <c r="O44" s="1764">
        <v>0.0747</v>
      </c>
      <c r="P44" s="1757">
        <f t="shared" si="8"/>
        <v>118.59528870000001</v>
      </c>
      <c r="Q44" s="1764">
        <v>0.0749</v>
      </c>
      <c r="R44" s="1757">
        <f t="shared" si="1"/>
        <v>118.91281289999999</v>
      </c>
      <c r="S44" s="1764">
        <v>0.0754</v>
      </c>
      <c r="T44" s="1757">
        <f t="shared" si="9"/>
        <v>119.7066234</v>
      </c>
      <c r="U44" s="1764"/>
      <c r="V44" s="1757">
        <f t="shared" si="10"/>
        <v>0</v>
      </c>
      <c r="W44" s="1764"/>
      <c r="X44" s="1757">
        <f t="shared" si="3"/>
        <v>0</v>
      </c>
      <c r="Y44" s="1737"/>
      <c r="Z44" s="1729"/>
    </row>
    <row r="45" spans="1:26" ht="16.5" customHeight="1">
      <c r="A45" s="948">
        <f t="shared" si="4"/>
        <v>30</v>
      </c>
      <c r="B45" s="949" t="s">
        <v>668</v>
      </c>
      <c r="C45" s="950">
        <v>5</v>
      </c>
      <c r="D45" s="1724">
        <v>6</v>
      </c>
      <c r="E45" s="1730">
        <v>0.4564</v>
      </c>
      <c r="F45" s="1726">
        <f t="shared" si="0"/>
        <v>724.5902244</v>
      </c>
      <c r="G45" s="884">
        <v>0</v>
      </c>
      <c r="H45" s="1727">
        <v>724.5902244</v>
      </c>
      <c r="I45" s="1754">
        <v>0.076</v>
      </c>
      <c r="J45" s="1755">
        <f t="shared" si="5"/>
        <v>120.65919600000001</v>
      </c>
      <c r="K45" s="1756">
        <v>0.0761</v>
      </c>
      <c r="L45" s="1757">
        <f t="shared" si="6"/>
        <v>120.81795810000001</v>
      </c>
      <c r="M45" s="1756">
        <v>0.07609</v>
      </c>
      <c r="N45" s="1757">
        <f t="shared" si="7"/>
        <v>120.80208189000001</v>
      </c>
      <c r="O45" s="1756">
        <v>0.07609</v>
      </c>
      <c r="P45" s="1757">
        <f t="shared" si="8"/>
        <v>120.80208189000001</v>
      </c>
      <c r="Q45" s="1756">
        <v>0.076</v>
      </c>
      <c r="R45" s="1757">
        <f t="shared" si="1"/>
        <v>120.65919600000001</v>
      </c>
      <c r="S45" s="1756">
        <v>0.07612</v>
      </c>
      <c r="T45" s="1757">
        <f t="shared" si="9"/>
        <v>120.84971052</v>
      </c>
      <c r="U45" s="1756"/>
      <c r="V45" s="1757">
        <f t="shared" si="10"/>
        <v>0</v>
      </c>
      <c r="W45" s="1756"/>
      <c r="X45" s="1757">
        <f t="shared" si="3"/>
        <v>0</v>
      </c>
      <c r="Y45" s="1732"/>
      <c r="Z45" s="1733"/>
    </row>
    <row r="46" spans="1:26" ht="16.5" customHeight="1">
      <c r="A46" s="948">
        <f t="shared" si="4"/>
        <v>31</v>
      </c>
      <c r="B46" s="949" t="s">
        <v>329</v>
      </c>
      <c r="C46" s="950">
        <v>5</v>
      </c>
      <c r="D46" s="1724">
        <v>4</v>
      </c>
      <c r="E46" s="1730">
        <v>0.3028</v>
      </c>
      <c r="F46" s="1726">
        <f t="shared" si="0"/>
        <v>480.73163880000004</v>
      </c>
      <c r="G46" s="884">
        <v>0</v>
      </c>
      <c r="H46" s="1727">
        <v>480.73163880000004</v>
      </c>
      <c r="I46" s="1754">
        <v>0.0759</v>
      </c>
      <c r="J46" s="1755">
        <f t="shared" si="5"/>
        <v>120.5004339</v>
      </c>
      <c r="K46" s="1756">
        <v>0.0757</v>
      </c>
      <c r="L46" s="1757">
        <f t="shared" si="6"/>
        <v>120.18290970000001</v>
      </c>
      <c r="M46" s="1756">
        <v>0.0757</v>
      </c>
      <c r="N46" s="1757">
        <f t="shared" si="7"/>
        <v>120.18290970000001</v>
      </c>
      <c r="O46" s="1756">
        <v>0.0755</v>
      </c>
      <c r="P46" s="1757">
        <f t="shared" si="8"/>
        <v>119.8653855</v>
      </c>
      <c r="Q46" s="1756"/>
      <c r="R46" s="1757">
        <f t="shared" si="1"/>
        <v>0</v>
      </c>
      <c r="S46" s="1756"/>
      <c r="T46" s="1757">
        <f t="shared" si="9"/>
        <v>0</v>
      </c>
      <c r="U46" s="1756"/>
      <c r="V46" s="1757">
        <f t="shared" si="10"/>
        <v>0</v>
      </c>
      <c r="W46" s="1756"/>
      <c r="X46" s="1757">
        <f t="shared" si="3"/>
        <v>0</v>
      </c>
      <c r="Y46" s="1732"/>
      <c r="Z46" s="1733"/>
    </row>
    <row r="47" spans="1:26" ht="16.5" customHeight="1" thickBot="1">
      <c r="A47" s="948">
        <f t="shared" si="4"/>
        <v>32</v>
      </c>
      <c r="B47" s="949" t="s">
        <v>175</v>
      </c>
      <c r="C47" s="950">
        <v>5</v>
      </c>
      <c r="D47" s="1724">
        <v>6</v>
      </c>
      <c r="E47" s="1730">
        <v>0.678</v>
      </c>
      <c r="F47" s="1726">
        <f t="shared" si="0"/>
        <v>1076.407038</v>
      </c>
      <c r="G47" s="884">
        <v>0</v>
      </c>
      <c r="H47" s="1727">
        <v>1076.407038</v>
      </c>
      <c r="I47" s="1754">
        <v>0.113</v>
      </c>
      <c r="J47" s="1755">
        <f t="shared" si="5"/>
        <v>179.40117300000003</v>
      </c>
      <c r="K47" s="1756">
        <v>0.1128</v>
      </c>
      <c r="L47" s="1757">
        <f t="shared" si="6"/>
        <v>179.08364880000002</v>
      </c>
      <c r="M47" s="1756">
        <v>0.1131</v>
      </c>
      <c r="N47" s="1757">
        <f t="shared" si="7"/>
        <v>179.55993510000002</v>
      </c>
      <c r="O47" s="1758">
        <v>0.113</v>
      </c>
      <c r="P47" s="1757">
        <f t="shared" si="8"/>
        <v>179.40117300000003</v>
      </c>
      <c r="Q47" s="1758">
        <v>0.1132</v>
      </c>
      <c r="R47" s="1757">
        <f t="shared" si="1"/>
        <v>179.7186972</v>
      </c>
      <c r="S47" s="1758">
        <v>0.1129</v>
      </c>
      <c r="T47" s="1757">
        <f t="shared" si="9"/>
        <v>179.2424109</v>
      </c>
      <c r="U47" s="1758"/>
      <c r="V47" s="1757">
        <f t="shared" si="10"/>
        <v>0</v>
      </c>
      <c r="W47" s="1758"/>
      <c r="X47" s="1757">
        <f t="shared" si="3"/>
        <v>0</v>
      </c>
      <c r="Y47" s="1728"/>
      <c r="Z47" s="1729"/>
    </row>
    <row r="48" spans="1:26" ht="19.5" customHeight="1" thickBot="1">
      <c r="A48" s="13"/>
      <c r="B48" s="1744" t="s">
        <v>8</v>
      </c>
      <c r="C48" s="723">
        <f aca="true" t="shared" si="11" ref="C48:P48">SUM(C16:C47)</f>
        <v>129</v>
      </c>
      <c r="D48" s="939">
        <f t="shared" si="11"/>
        <v>110</v>
      </c>
      <c r="E48" s="940">
        <f t="shared" si="11"/>
        <v>8.979600000000001</v>
      </c>
      <c r="F48" s="938">
        <f t="shared" si="11"/>
        <v>14256.201531600002</v>
      </c>
      <c r="G48" s="893">
        <f t="shared" si="11"/>
        <v>0</v>
      </c>
      <c r="H48" s="938">
        <f t="shared" si="11"/>
        <v>14256.201531600002</v>
      </c>
      <c r="I48" s="893">
        <f t="shared" si="11"/>
        <v>2.27124</v>
      </c>
      <c r="J48" s="938">
        <f t="shared" si="11"/>
        <v>3605.8683200400014</v>
      </c>
      <c r="K48" s="893">
        <f t="shared" si="11"/>
        <v>2.27466</v>
      </c>
      <c r="L48" s="938">
        <f t="shared" si="11"/>
        <v>3611.29798386</v>
      </c>
      <c r="M48" s="893">
        <f t="shared" si="11"/>
        <v>1.5782900000000002</v>
      </c>
      <c r="N48" s="938">
        <f t="shared" si="11"/>
        <v>2505.72634809</v>
      </c>
      <c r="O48" s="893">
        <f t="shared" si="11"/>
        <v>1.19029</v>
      </c>
      <c r="P48" s="938">
        <f t="shared" si="11"/>
        <v>1889.7294000900001</v>
      </c>
      <c r="Q48" s="893">
        <f aca="true" t="shared" si="12" ref="Q48:Z48">SUM(Q16:Q47)</f>
        <v>0.60445</v>
      </c>
      <c r="R48" s="938">
        <f t="shared" si="12"/>
        <v>959.6375134499999</v>
      </c>
      <c r="S48" s="893">
        <f t="shared" si="12"/>
        <v>0.52972</v>
      </c>
      <c r="T48" s="938">
        <f t="shared" si="12"/>
        <v>840.99459612</v>
      </c>
      <c r="U48" s="893">
        <f t="shared" si="12"/>
        <v>0.26545</v>
      </c>
      <c r="V48" s="938">
        <f t="shared" si="12"/>
        <v>421.43399445</v>
      </c>
      <c r="W48" s="893">
        <f t="shared" si="12"/>
        <v>0.26549999999999996</v>
      </c>
      <c r="X48" s="938">
        <f t="shared" si="12"/>
        <v>421.5133755</v>
      </c>
      <c r="Y48" s="939">
        <f t="shared" si="12"/>
        <v>0</v>
      </c>
      <c r="Z48" s="938">
        <f t="shared" si="12"/>
        <v>0</v>
      </c>
    </row>
    <row r="49" spans="1:16" ht="16.5" customHeight="1" hidden="1">
      <c r="A49" s="15"/>
      <c r="B49" s="16"/>
      <c r="C49" s="17"/>
      <c r="D49" s="17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1:16" ht="5.25" customHeight="1">
      <c r="A50" s="15"/>
      <c r="B50" s="16"/>
      <c r="C50" s="17"/>
      <c r="D50" s="17"/>
      <c r="E50" s="1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15" customHeight="1">
      <c r="A51" s="15"/>
      <c r="B51" s="16"/>
      <c r="C51" s="16"/>
      <c r="D51" s="17"/>
      <c r="E51" s="18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1:16" ht="12.75">
      <c r="A52" s="20"/>
      <c r="B52" s="20"/>
      <c r="C52" s="20"/>
      <c r="D52" s="20"/>
      <c r="E52" s="20"/>
      <c r="F52" s="20"/>
      <c r="G52" s="20"/>
      <c r="H52" s="20"/>
      <c r="I52" s="20"/>
      <c r="J52" s="21"/>
      <c r="K52" s="21"/>
      <c r="L52" s="21"/>
      <c r="M52" s="21"/>
      <c r="N52" s="21"/>
      <c r="O52" s="21"/>
      <c r="P52" s="21"/>
    </row>
    <row r="53" spans="1:16" ht="15.75">
      <c r="A53" s="20"/>
      <c r="B53" s="1985" t="s">
        <v>37</v>
      </c>
      <c r="C53" s="1985"/>
      <c r="D53" s="1696"/>
      <c r="E53" s="1"/>
      <c r="F53" s="2"/>
      <c r="G53" s="2"/>
      <c r="H53" s="2"/>
      <c r="I53" s="20"/>
      <c r="J53" s="20"/>
      <c r="K53" s="20"/>
      <c r="L53" s="2" t="s">
        <v>38</v>
      </c>
      <c r="M53" s="20"/>
      <c r="N53" s="20"/>
      <c r="O53" s="20"/>
      <c r="P53" s="20"/>
    </row>
    <row r="54" spans="1:16" ht="12.75" customHeight="1" hidden="1">
      <c r="A54" s="20"/>
      <c r="B54" s="22"/>
      <c r="C54" s="22"/>
      <c r="D54" s="22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2:4" ht="12.75" customHeight="1" hidden="1">
      <c r="B55" s="23"/>
      <c r="C55" s="23"/>
      <c r="D55" s="23"/>
    </row>
    <row r="56" spans="2:4" ht="12.75" customHeight="1" hidden="1">
      <c r="B56" s="23"/>
      <c r="C56" s="24"/>
      <c r="D56" s="23"/>
    </row>
    <row r="57" spans="2:4" ht="12.75" customHeight="1" hidden="1">
      <c r="B57" s="25" t="s">
        <v>39</v>
      </c>
      <c r="C57" s="23"/>
      <c r="D57" s="23"/>
    </row>
    <row r="58" spans="2:4" ht="12.75" customHeight="1" hidden="1">
      <c r="B58" s="26">
        <v>1176.43</v>
      </c>
      <c r="C58" s="23"/>
      <c r="D58" s="23"/>
    </row>
    <row r="59" spans="2:4" ht="12.75" customHeight="1" hidden="1">
      <c r="B59" s="23"/>
      <c r="C59" s="23"/>
      <c r="D59" s="23"/>
    </row>
    <row r="60" ht="12.75" customHeight="1" hidden="1"/>
    <row r="61" ht="12.75" customHeight="1" hidden="1"/>
    <row r="62" ht="12.75">
      <c r="L62" s="27"/>
    </row>
    <row r="64" spans="4:6" ht="12.75">
      <c r="D64" s="28"/>
      <c r="F64" s="90"/>
    </row>
    <row r="65" ht="12.75">
      <c r="D65" s="28"/>
    </row>
    <row r="68" ht="12.75">
      <c r="B68" s="27"/>
    </row>
    <row r="69" ht="12.75">
      <c r="B69" s="27"/>
    </row>
  </sheetData>
  <autoFilter ref="B15:P15"/>
  <mergeCells count="38">
    <mergeCell ref="W11:X11"/>
    <mergeCell ref="Y11:Z11"/>
    <mergeCell ref="A8:P8"/>
    <mergeCell ref="A11:A14"/>
    <mergeCell ref="B11:B14"/>
    <mergeCell ref="C11:C14"/>
    <mergeCell ref="D11:F11"/>
    <mergeCell ref="G11:H11"/>
    <mergeCell ref="I11:J11"/>
    <mergeCell ref="K11:L11"/>
    <mergeCell ref="M11:N11"/>
    <mergeCell ref="K12:K13"/>
    <mergeCell ref="O11:P11"/>
    <mergeCell ref="Q11:R11"/>
    <mergeCell ref="S11:T11"/>
    <mergeCell ref="Q12:Q13"/>
    <mergeCell ref="U11:V11"/>
    <mergeCell ref="D12:E13"/>
    <mergeCell ref="G12:G13"/>
    <mergeCell ref="H12:H13"/>
    <mergeCell ref="I12:I13"/>
    <mergeCell ref="J12:J13"/>
    <mergeCell ref="A9:P9"/>
    <mergeCell ref="X12:X13"/>
    <mergeCell ref="Y12:Y13"/>
    <mergeCell ref="Z12:Z13"/>
    <mergeCell ref="B53:C53"/>
    <mergeCell ref="R12:R13"/>
    <mergeCell ref="S12:S13"/>
    <mergeCell ref="T12:T13"/>
    <mergeCell ref="U12:U13"/>
    <mergeCell ref="V12:V13"/>
    <mergeCell ref="W12:W13"/>
    <mergeCell ref="L12:L13"/>
    <mergeCell ref="M12:M13"/>
    <mergeCell ref="N12:N13"/>
    <mergeCell ref="O12:O13"/>
    <mergeCell ref="P12:P13"/>
  </mergeCells>
  <dataValidations count="1">
    <dataValidation type="custom" allowBlank="1" showInputMessage="1" showErrorMessage="1" errorTitle="Ошибка!" error="Округлите до целых!" sqref="Y18 Q18 S18 U18 W18">
      <formula1>MOD(Q18,1)&lt;0.00001</formula1>
    </dataValidation>
  </dataValidations>
  <printOptions horizontalCentered="1"/>
  <pageMargins left="0.2362204724409449" right="0.03937007874015748" top="0.15748031496062992" bottom="0.15748031496062992" header="0" footer="0"/>
  <pageSetup fitToHeight="1" fitToWidth="1"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AA66"/>
  <sheetViews>
    <sheetView workbookViewId="0" topLeftCell="A16">
      <selection activeCell="F18" sqref="F18"/>
    </sheetView>
  </sheetViews>
  <sheetFormatPr defaultColWidth="9.00390625" defaultRowHeight="12.75"/>
  <cols>
    <col min="1" max="1" width="4.375" style="0" customWidth="1"/>
    <col min="2" max="2" width="22.625" style="0" customWidth="1"/>
    <col min="3" max="3" width="5.75390625" style="0" hidden="1" customWidth="1"/>
    <col min="4" max="4" width="6.625" style="0" customWidth="1"/>
    <col min="5" max="5" width="8.75390625" style="0" customWidth="1"/>
    <col min="6" max="6" width="13.25390625" style="0" customWidth="1"/>
    <col min="7" max="7" width="8.875" style="0" customWidth="1"/>
    <col min="8" max="8" width="12.125" style="0" customWidth="1"/>
    <col min="9" max="9" width="6.75390625" style="0" customWidth="1"/>
    <col min="10" max="10" width="7.75390625" style="0" customWidth="1"/>
    <col min="11" max="11" width="11.375" style="0" customWidth="1"/>
    <col min="12" max="12" width="7.625" style="0" customWidth="1"/>
    <col min="13" max="13" width="7.75390625" style="0" customWidth="1"/>
    <col min="14" max="14" width="11.375" style="0" customWidth="1"/>
    <col min="15" max="16" width="7.75390625" style="0" customWidth="1"/>
    <col min="17" max="17" width="11.375" style="0" customWidth="1"/>
    <col min="18" max="18" width="7.00390625" style="0" customWidth="1"/>
    <col min="19" max="19" width="7.75390625" style="0" customWidth="1"/>
    <col min="20" max="20" width="11.375" style="0" customWidth="1"/>
    <col min="21" max="22" width="9.125" style="0" hidden="1" customWidth="1"/>
    <col min="23" max="25" width="9.00390625" style="0" hidden="1" customWidth="1"/>
  </cols>
  <sheetData>
    <row r="1" spans="1:20" ht="15" customHeight="1">
      <c r="A1" s="1"/>
      <c r="B1" s="1"/>
      <c r="C1" s="1"/>
      <c r="D1" s="1"/>
      <c r="E1" s="1"/>
      <c r="F1" s="2"/>
      <c r="G1" s="2"/>
      <c r="H1" s="2"/>
      <c r="I1" s="1"/>
      <c r="J1" s="1"/>
      <c r="K1" s="1"/>
      <c r="L1" s="1"/>
      <c r="M1" s="689"/>
      <c r="N1" s="689"/>
      <c r="O1" s="689"/>
      <c r="P1" s="398"/>
      <c r="Q1" s="398"/>
      <c r="R1" s="398"/>
      <c r="S1" s="398" t="s">
        <v>0</v>
      </c>
      <c r="T1" s="1"/>
    </row>
    <row r="2" spans="1:20" ht="17.25" customHeight="1">
      <c r="A2" s="1"/>
      <c r="B2" s="1"/>
      <c r="C2" s="1"/>
      <c r="D2" s="1"/>
      <c r="E2" s="1"/>
      <c r="F2" s="2"/>
      <c r="G2" s="2"/>
      <c r="H2" s="2"/>
      <c r="I2" s="1"/>
      <c r="J2" s="1"/>
      <c r="K2" s="1"/>
      <c r="L2" s="1"/>
      <c r="M2" s="689"/>
      <c r="N2" s="689"/>
      <c r="O2" s="689"/>
      <c r="P2" s="398"/>
      <c r="Q2" s="398"/>
      <c r="R2" s="398"/>
      <c r="S2" s="398" t="s">
        <v>1</v>
      </c>
      <c r="T2" s="1"/>
    </row>
    <row r="3" spans="1:20" ht="18" customHeight="1">
      <c r="A3" s="1"/>
      <c r="B3" s="1"/>
      <c r="C3" s="1"/>
      <c r="D3" s="1"/>
      <c r="E3" s="1"/>
      <c r="F3" s="2"/>
      <c r="G3" s="2"/>
      <c r="H3" s="2"/>
      <c r="I3" s="1"/>
      <c r="J3" s="1"/>
      <c r="K3" s="1"/>
      <c r="L3" s="1"/>
      <c r="M3" s="689"/>
      <c r="N3" s="689"/>
      <c r="O3" s="689"/>
      <c r="P3" s="398"/>
      <c r="Q3" s="398"/>
      <c r="R3" s="398"/>
      <c r="S3" s="398" t="s">
        <v>2</v>
      </c>
      <c r="T3" s="1"/>
    </row>
    <row r="4" spans="1:20" ht="13.5" customHeight="1">
      <c r="A4" s="1"/>
      <c r="B4" s="1"/>
      <c r="C4" s="1"/>
      <c r="D4" s="1"/>
      <c r="E4" s="1"/>
      <c r="F4" s="2"/>
      <c r="G4" s="2"/>
      <c r="H4" s="2"/>
      <c r="I4" s="1"/>
      <c r="J4" s="1"/>
      <c r="K4" s="1"/>
      <c r="L4" s="1"/>
      <c r="M4" s="689"/>
      <c r="N4" s="689"/>
      <c r="O4" s="689"/>
      <c r="P4" s="398"/>
      <c r="Q4" s="398"/>
      <c r="R4" s="398"/>
      <c r="S4" s="398" t="s">
        <v>3</v>
      </c>
      <c r="T4" s="1"/>
    </row>
    <row r="5" spans="1:20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.75" customHeight="1">
      <c r="A6" s="2001" t="s">
        <v>4</v>
      </c>
      <c r="B6" s="2001"/>
      <c r="C6" s="2001"/>
      <c r="D6" s="2001"/>
      <c r="E6" s="2001"/>
      <c r="F6" s="2001"/>
      <c r="G6" s="2001"/>
      <c r="H6" s="2001"/>
      <c r="I6" s="2001"/>
      <c r="J6" s="2001"/>
      <c r="K6" s="2001"/>
      <c r="L6" s="2001"/>
      <c r="M6" s="2001"/>
      <c r="N6" s="2001"/>
      <c r="O6" s="2001"/>
      <c r="P6" s="2001"/>
      <c r="Q6" s="2001"/>
      <c r="R6" s="2001"/>
      <c r="S6" s="2001"/>
      <c r="T6" s="2001"/>
    </row>
    <row r="7" spans="1:20" ht="18.75" customHeight="1" thickBot="1">
      <c r="A7" s="2002" t="s">
        <v>350</v>
      </c>
      <c r="B7" s="2002"/>
      <c r="C7" s="2002"/>
      <c r="D7" s="2002"/>
      <c r="E7" s="2002"/>
      <c r="F7" s="2002"/>
      <c r="G7" s="2002"/>
      <c r="H7" s="2002"/>
      <c r="I7" s="2002"/>
      <c r="J7" s="2002"/>
      <c r="K7" s="2002"/>
      <c r="L7" s="2002"/>
      <c r="M7" s="2002"/>
      <c r="N7" s="2002"/>
      <c r="O7" s="2002"/>
      <c r="P7" s="2002"/>
      <c r="Q7" s="2002"/>
      <c r="R7" s="2002"/>
      <c r="S7" s="2002"/>
      <c r="T7" s="2002"/>
    </row>
    <row r="8" spans="1:20" ht="12" customHeight="1" thickBot="1">
      <c r="A8" s="1991" t="s">
        <v>5</v>
      </c>
      <c r="B8" s="1994" t="s">
        <v>6</v>
      </c>
      <c r="C8" s="1997" t="s">
        <v>7</v>
      </c>
      <c r="D8" s="1986" t="s">
        <v>8</v>
      </c>
      <c r="E8" s="2000"/>
      <c r="F8" s="2000"/>
      <c r="G8" s="1986" t="s">
        <v>15</v>
      </c>
      <c r="H8" s="1987"/>
      <c r="I8" s="1986" t="s">
        <v>9</v>
      </c>
      <c r="J8" s="2000"/>
      <c r="K8" s="1987"/>
      <c r="L8" s="1986" t="s">
        <v>10</v>
      </c>
      <c r="M8" s="2000"/>
      <c r="N8" s="1987"/>
      <c r="O8" s="1986" t="s">
        <v>11</v>
      </c>
      <c r="P8" s="2000"/>
      <c r="Q8" s="1987"/>
      <c r="R8" s="1986" t="s">
        <v>12</v>
      </c>
      <c r="S8" s="2000"/>
      <c r="T8" s="1987"/>
    </row>
    <row r="9" spans="1:20" ht="10.5" customHeight="1" thickBot="1">
      <c r="A9" s="1992"/>
      <c r="B9" s="1995"/>
      <c r="C9" s="1998"/>
      <c r="D9" s="1983" t="s">
        <v>13</v>
      </c>
      <c r="E9" s="1988"/>
      <c r="F9" s="944" t="s">
        <v>14</v>
      </c>
      <c r="G9" s="1983" t="s">
        <v>19</v>
      </c>
      <c r="H9" s="1981" t="s">
        <v>20</v>
      </c>
      <c r="I9" s="1983" t="s">
        <v>16</v>
      </c>
      <c r="J9" s="1988"/>
      <c r="K9" s="1981" t="s">
        <v>17</v>
      </c>
      <c r="L9" s="1983" t="s">
        <v>18</v>
      </c>
      <c r="M9" s="1988"/>
      <c r="N9" s="1981" t="s">
        <v>17</v>
      </c>
      <c r="O9" s="1983" t="s">
        <v>18</v>
      </c>
      <c r="P9" s="1988"/>
      <c r="Q9" s="1981" t="s">
        <v>17</v>
      </c>
      <c r="R9" s="1983" t="s">
        <v>18</v>
      </c>
      <c r="S9" s="1988"/>
      <c r="T9" s="1981" t="s">
        <v>17</v>
      </c>
    </row>
    <row r="10" spans="1:20" ht="9.75" customHeight="1" thickBot="1">
      <c r="A10" s="1992"/>
      <c r="B10" s="1995"/>
      <c r="C10" s="1998"/>
      <c r="D10" s="1984"/>
      <c r="E10" s="1989"/>
      <c r="F10" s="945" t="s">
        <v>8</v>
      </c>
      <c r="G10" s="1984"/>
      <c r="H10" s="1982"/>
      <c r="I10" s="1984"/>
      <c r="J10" s="1989"/>
      <c r="K10" s="1982"/>
      <c r="L10" s="1984"/>
      <c r="M10" s="1989"/>
      <c r="N10" s="1982"/>
      <c r="O10" s="1984"/>
      <c r="P10" s="1989"/>
      <c r="Q10" s="1982"/>
      <c r="R10" s="1984"/>
      <c r="S10" s="1989"/>
      <c r="T10" s="1982"/>
    </row>
    <row r="11" spans="1:20" ht="13.5" thickBot="1">
      <c r="A11" s="1993"/>
      <c r="B11" s="1996"/>
      <c r="C11" s="1999"/>
      <c r="D11" s="947" t="s">
        <v>21</v>
      </c>
      <c r="E11" s="7" t="s">
        <v>22</v>
      </c>
      <c r="F11" s="946" t="s">
        <v>23</v>
      </c>
      <c r="G11" s="6" t="s">
        <v>24</v>
      </c>
      <c r="H11" s="943" t="s">
        <v>23</v>
      </c>
      <c r="I11" s="691" t="s">
        <v>21</v>
      </c>
      <c r="J11" s="941" t="s">
        <v>22</v>
      </c>
      <c r="K11" s="942" t="s">
        <v>25</v>
      </c>
      <c r="L11" s="934" t="s">
        <v>21</v>
      </c>
      <c r="M11" s="941" t="s">
        <v>22</v>
      </c>
      <c r="N11" s="8" t="s">
        <v>25</v>
      </c>
      <c r="O11" s="933" t="s">
        <v>21</v>
      </c>
      <c r="P11" s="941" t="s">
        <v>22</v>
      </c>
      <c r="Q11" s="8" t="s">
        <v>25</v>
      </c>
      <c r="R11" s="934" t="s">
        <v>21</v>
      </c>
      <c r="S11" s="941" t="s">
        <v>22</v>
      </c>
      <c r="T11" s="8" t="s">
        <v>25</v>
      </c>
    </row>
    <row r="12" spans="1:20" ht="11.25" customHeight="1" thickBot="1">
      <c r="A12" s="9"/>
      <c r="B12" s="5"/>
      <c r="C12" s="10"/>
      <c r="D12" s="691"/>
      <c r="E12" s="7"/>
      <c r="F12" s="692"/>
      <c r="G12" s="934"/>
      <c r="H12" s="8"/>
      <c r="I12" s="691"/>
      <c r="J12" s="941"/>
      <c r="K12" s="942"/>
      <c r="L12" s="691"/>
      <c r="M12" s="934"/>
      <c r="N12" s="8"/>
      <c r="O12" s="691"/>
      <c r="P12" s="941"/>
      <c r="Q12" s="8"/>
      <c r="R12" s="691"/>
      <c r="S12" s="941"/>
      <c r="T12" s="8"/>
    </row>
    <row r="13" spans="1:23" ht="15" customHeight="1">
      <c r="A13" s="948">
        <v>1</v>
      </c>
      <c r="B13" s="949" t="s">
        <v>306</v>
      </c>
      <c r="C13" s="950">
        <v>2</v>
      </c>
      <c r="D13" s="954">
        <v>2</v>
      </c>
      <c r="E13" s="951">
        <v>0.0751</v>
      </c>
      <c r="F13" s="952">
        <f aca="true" t="shared" si="0" ref="F13:F44">E13*1587.621</f>
        <v>119.23033710000001</v>
      </c>
      <c r="G13" s="882">
        <v>0</v>
      </c>
      <c r="H13" s="883">
        <v>119.23033710000001</v>
      </c>
      <c r="I13" s="896"/>
      <c r="J13" s="884"/>
      <c r="K13" s="885"/>
      <c r="L13" s="895">
        <v>2</v>
      </c>
      <c r="M13" s="935">
        <v>0.0751</v>
      </c>
      <c r="N13" s="892">
        <v>119.23033710000001</v>
      </c>
      <c r="O13" s="897"/>
      <c r="P13" s="886"/>
      <c r="Q13" s="885"/>
      <c r="R13" s="898"/>
      <c r="S13" s="937"/>
      <c r="T13" s="885"/>
      <c r="U13" s="792">
        <v>2012</v>
      </c>
      <c r="W13" s="881">
        <f aca="true" t="shared" si="1" ref="W13:W16">E13-(J13+M13+P13+S13)</f>
        <v>0</v>
      </c>
    </row>
    <row r="14" spans="1:23" s="20" customFormat="1" ht="15" customHeight="1">
      <c r="A14" s="948">
        <f aca="true" t="shared" si="2" ref="A14:A44">A13+1</f>
        <v>2</v>
      </c>
      <c r="B14" s="949" t="s">
        <v>307</v>
      </c>
      <c r="C14" s="950">
        <v>4</v>
      </c>
      <c r="D14" s="954">
        <v>4</v>
      </c>
      <c r="E14" s="953">
        <v>0.312</v>
      </c>
      <c r="F14" s="952">
        <f t="shared" si="0"/>
        <v>495.337752</v>
      </c>
      <c r="G14" s="882">
        <v>0</v>
      </c>
      <c r="H14" s="883">
        <v>495.337752</v>
      </c>
      <c r="I14" s="896"/>
      <c r="J14" s="888"/>
      <c r="K14" s="885"/>
      <c r="L14" s="897"/>
      <c r="M14" s="937"/>
      <c r="N14" s="883"/>
      <c r="O14" s="894">
        <v>4</v>
      </c>
      <c r="P14" s="887">
        <v>0.312</v>
      </c>
      <c r="Q14" s="883">
        <v>495.337752</v>
      </c>
      <c r="R14" s="899"/>
      <c r="S14" s="937"/>
      <c r="T14" s="885"/>
      <c r="U14" s="793">
        <v>2012</v>
      </c>
      <c r="V14" s="20" t="s">
        <v>308</v>
      </c>
      <c r="W14" s="881">
        <f t="shared" si="1"/>
        <v>0</v>
      </c>
    </row>
    <row r="15" spans="1:23" s="20" customFormat="1" ht="15" customHeight="1">
      <c r="A15" s="948">
        <f t="shared" si="2"/>
        <v>3</v>
      </c>
      <c r="B15" s="949" t="s">
        <v>312</v>
      </c>
      <c r="C15" s="950">
        <v>5</v>
      </c>
      <c r="D15" s="954">
        <v>4</v>
      </c>
      <c r="E15" s="953">
        <v>0.311</v>
      </c>
      <c r="F15" s="952">
        <f t="shared" si="0"/>
        <v>493.750131</v>
      </c>
      <c r="G15" s="882">
        <v>0</v>
      </c>
      <c r="H15" s="883">
        <v>493.750131</v>
      </c>
      <c r="I15" s="896">
        <v>4</v>
      </c>
      <c r="J15" s="888">
        <v>0.311</v>
      </c>
      <c r="K15" s="885">
        <v>493.750131</v>
      </c>
      <c r="L15" s="897"/>
      <c r="M15" s="937"/>
      <c r="N15" s="883"/>
      <c r="O15" s="894"/>
      <c r="P15" s="887"/>
      <c r="Q15" s="883"/>
      <c r="R15" s="899"/>
      <c r="S15" s="889"/>
      <c r="T15" s="885"/>
      <c r="U15" s="793">
        <v>2012</v>
      </c>
      <c r="W15" s="881">
        <f t="shared" si="1"/>
        <v>0</v>
      </c>
    </row>
    <row r="16" spans="1:23" s="20" customFormat="1" ht="15" customHeight="1">
      <c r="A16" s="948">
        <f t="shared" si="2"/>
        <v>4</v>
      </c>
      <c r="B16" s="949" t="s">
        <v>72</v>
      </c>
      <c r="C16" s="950">
        <v>5</v>
      </c>
      <c r="D16" s="954">
        <v>5</v>
      </c>
      <c r="E16" s="953">
        <v>0.3772</v>
      </c>
      <c r="F16" s="952">
        <f t="shared" si="0"/>
        <v>598.8506412</v>
      </c>
      <c r="G16" s="882">
        <v>0</v>
      </c>
      <c r="H16" s="883">
        <v>598.8506412</v>
      </c>
      <c r="I16" s="896">
        <v>5</v>
      </c>
      <c r="J16" s="888">
        <v>0.3772</v>
      </c>
      <c r="K16" s="885">
        <v>598.8506412</v>
      </c>
      <c r="L16" s="897"/>
      <c r="M16" s="937"/>
      <c r="N16" s="883"/>
      <c r="O16" s="894"/>
      <c r="P16" s="887"/>
      <c r="Q16" s="883"/>
      <c r="R16" s="899"/>
      <c r="S16" s="937"/>
      <c r="T16" s="885"/>
      <c r="U16" s="793">
        <v>2012</v>
      </c>
      <c r="W16" s="881">
        <f t="shared" si="1"/>
        <v>0</v>
      </c>
    </row>
    <row r="17" spans="1:23" s="20" customFormat="1" ht="15" customHeight="1">
      <c r="A17" s="948">
        <f t="shared" si="2"/>
        <v>5</v>
      </c>
      <c r="B17" s="949" t="s">
        <v>313</v>
      </c>
      <c r="C17" s="950">
        <v>5</v>
      </c>
      <c r="D17" s="954">
        <v>3</v>
      </c>
      <c r="E17" s="953">
        <v>0.221</v>
      </c>
      <c r="F17" s="952">
        <f t="shared" si="0"/>
        <v>350.86424100000005</v>
      </c>
      <c r="G17" s="882">
        <v>0</v>
      </c>
      <c r="H17" s="883">
        <v>350.86424100000005</v>
      </c>
      <c r="I17" s="896"/>
      <c r="J17" s="884"/>
      <c r="K17" s="885"/>
      <c r="L17" s="897"/>
      <c r="M17" s="889"/>
      <c r="N17" s="883"/>
      <c r="O17" s="897"/>
      <c r="P17" s="889"/>
      <c r="Q17" s="885"/>
      <c r="R17" s="894">
        <v>3</v>
      </c>
      <c r="S17" s="887">
        <v>0.221</v>
      </c>
      <c r="T17" s="883">
        <v>350.86424100000005</v>
      </c>
      <c r="U17" s="793">
        <v>2012</v>
      </c>
      <c r="W17" s="881">
        <f aca="true" t="shared" si="3" ref="W17:W45">E17-(J17+M17+P17+S17)</f>
        <v>0</v>
      </c>
    </row>
    <row r="18" spans="1:23" ht="15" customHeight="1">
      <c r="A18" s="948">
        <f t="shared" si="2"/>
        <v>6</v>
      </c>
      <c r="B18" s="949" t="s">
        <v>613</v>
      </c>
      <c r="C18" s="950">
        <v>5</v>
      </c>
      <c r="D18" s="954">
        <v>4</v>
      </c>
      <c r="E18" s="953">
        <v>0.23</v>
      </c>
      <c r="F18" s="952">
        <f t="shared" si="0"/>
        <v>365.15283000000005</v>
      </c>
      <c r="G18" s="882">
        <v>0</v>
      </c>
      <c r="H18" s="883">
        <v>365.15283000000005</v>
      </c>
      <c r="I18" s="896"/>
      <c r="J18" s="884"/>
      <c r="K18" s="885"/>
      <c r="L18" s="895">
        <v>4</v>
      </c>
      <c r="M18" s="890">
        <v>0.23</v>
      </c>
      <c r="N18" s="892">
        <v>365.15283000000005</v>
      </c>
      <c r="O18" s="897"/>
      <c r="P18" s="889"/>
      <c r="Q18" s="885"/>
      <c r="R18" s="900"/>
      <c r="S18" s="889"/>
      <c r="T18" s="885"/>
      <c r="U18" s="792">
        <v>2013</v>
      </c>
      <c r="W18" s="881">
        <f t="shared" si="3"/>
        <v>0</v>
      </c>
    </row>
    <row r="19" spans="1:23" ht="15" customHeight="1">
      <c r="A19" s="948">
        <f t="shared" si="2"/>
        <v>7</v>
      </c>
      <c r="B19" s="949" t="s">
        <v>77</v>
      </c>
      <c r="C19" s="950">
        <v>5</v>
      </c>
      <c r="D19" s="954">
        <v>4</v>
      </c>
      <c r="E19" s="953">
        <v>0.344</v>
      </c>
      <c r="F19" s="952">
        <f t="shared" si="0"/>
        <v>546.141624</v>
      </c>
      <c r="G19" s="882">
        <v>0</v>
      </c>
      <c r="H19" s="883">
        <v>546.141624</v>
      </c>
      <c r="I19" s="895">
        <v>5</v>
      </c>
      <c r="J19" s="890">
        <v>0.344</v>
      </c>
      <c r="K19" s="892">
        <v>546.141624</v>
      </c>
      <c r="L19" s="897"/>
      <c r="M19" s="889"/>
      <c r="N19" s="883"/>
      <c r="O19" s="897"/>
      <c r="P19" s="889"/>
      <c r="Q19" s="885"/>
      <c r="R19" s="899"/>
      <c r="S19" s="937"/>
      <c r="T19" s="885"/>
      <c r="U19" s="792">
        <v>2012</v>
      </c>
      <c r="W19" s="881">
        <f t="shared" si="3"/>
        <v>0</v>
      </c>
    </row>
    <row r="20" spans="1:23" ht="15" customHeight="1">
      <c r="A20" s="948">
        <f t="shared" si="2"/>
        <v>8</v>
      </c>
      <c r="B20" s="949" t="s">
        <v>315</v>
      </c>
      <c r="C20" s="950">
        <v>3</v>
      </c>
      <c r="D20" s="954">
        <v>2</v>
      </c>
      <c r="E20" s="953">
        <v>0.0767</v>
      </c>
      <c r="F20" s="952">
        <f t="shared" si="0"/>
        <v>121.77053070000001</v>
      </c>
      <c r="G20" s="882">
        <v>0</v>
      </c>
      <c r="H20" s="883">
        <v>121.77053070000001</v>
      </c>
      <c r="I20" s="896"/>
      <c r="J20" s="891"/>
      <c r="K20" s="885"/>
      <c r="L20" s="897"/>
      <c r="M20" s="937"/>
      <c r="N20" s="883"/>
      <c r="O20" s="897"/>
      <c r="P20" s="889"/>
      <c r="Q20" s="885"/>
      <c r="R20" s="894">
        <v>2</v>
      </c>
      <c r="S20" s="887">
        <v>0.0767</v>
      </c>
      <c r="T20" s="883">
        <v>121.77053070000001</v>
      </c>
      <c r="U20">
        <v>2012</v>
      </c>
      <c r="W20" s="881">
        <f t="shared" si="3"/>
        <v>0</v>
      </c>
    </row>
    <row r="21" spans="1:23" ht="15" customHeight="1">
      <c r="A21" s="948">
        <f t="shared" si="2"/>
        <v>9</v>
      </c>
      <c r="B21" s="949" t="s">
        <v>314</v>
      </c>
      <c r="C21" s="950">
        <v>2</v>
      </c>
      <c r="D21" s="954">
        <v>2</v>
      </c>
      <c r="E21" s="953">
        <v>0.0679</v>
      </c>
      <c r="F21" s="952">
        <f t="shared" si="0"/>
        <v>107.79946590000002</v>
      </c>
      <c r="G21" s="882">
        <v>0</v>
      </c>
      <c r="H21" s="883">
        <v>107.79946590000002</v>
      </c>
      <c r="I21" s="896"/>
      <c r="J21" s="891"/>
      <c r="K21" s="885"/>
      <c r="L21" s="897"/>
      <c r="M21" s="889"/>
      <c r="N21" s="883"/>
      <c r="O21" s="897"/>
      <c r="P21" s="889"/>
      <c r="Q21" s="885"/>
      <c r="R21" s="894">
        <v>2</v>
      </c>
      <c r="S21" s="887">
        <v>0.0679</v>
      </c>
      <c r="T21" s="883">
        <v>107.79946590000002</v>
      </c>
      <c r="U21">
        <v>2012</v>
      </c>
      <c r="W21" s="881">
        <f t="shared" si="3"/>
        <v>0</v>
      </c>
    </row>
    <row r="22" spans="1:23" ht="15" customHeight="1">
      <c r="A22" s="948">
        <f t="shared" si="2"/>
        <v>10</v>
      </c>
      <c r="B22" s="949" t="s">
        <v>316</v>
      </c>
      <c r="C22" s="950">
        <v>4</v>
      </c>
      <c r="D22" s="954">
        <v>3</v>
      </c>
      <c r="E22" s="953">
        <v>0.3057</v>
      </c>
      <c r="F22" s="952">
        <f t="shared" si="0"/>
        <v>485.3357397000001</v>
      </c>
      <c r="G22" s="882">
        <v>0</v>
      </c>
      <c r="H22" s="883">
        <v>485.3357397000001</v>
      </c>
      <c r="I22" s="896">
        <v>3</v>
      </c>
      <c r="J22" s="884">
        <v>0.3057</v>
      </c>
      <c r="K22" s="885">
        <v>485.3357397000001</v>
      </c>
      <c r="L22" s="897"/>
      <c r="M22" s="889"/>
      <c r="N22" s="883"/>
      <c r="O22" s="894"/>
      <c r="P22" s="887"/>
      <c r="Q22" s="883"/>
      <c r="R22" s="898"/>
      <c r="S22" s="937"/>
      <c r="T22" s="885"/>
      <c r="U22">
        <v>2012</v>
      </c>
      <c r="W22" s="881">
        <f t="shared" si="3"/>
        <v>0</v>
      </c>
    </row>
    <row r="23" spans="1:23" ht="15" customHeight="1">
      <c r="A23" s="948">
        <f t="shared" si="2"/>
        <v>11</v>
      </c>
      <c r="B23" s="949" t="s">
        <v>317</v>
      </c>
      <c r="C23" s="950">
        <v>3</v>
      </c>
      <c r="D23" s="954">
        <v>3</v>
      </c>
      <c r="E23" s="953">
        <v>0.235</v>
      </c>
      <c r="F23" s="952">
        <f t="shared" si="0"/>
        <v>373.090935</v>
      </c>
      <c r="G23" s="882">
        <v>0</v>
      </c>
      <c r="H23" s="883">
        <v>373.090935</v>
      </c>
      <c r="I23" s="896">
        <v>3</v>
      </c>
      <c r="J23" s="891">
        <v>0.235</v>
      </c>
      <c r="K23" s="885">
        <v>373.090935</v>
      </c>
      <c r="L23" s="897"/>
      <c r="M23" s="889"/>
      <c r="N23" s="883"/>
      <c r="O23" s="894"/>
      <c r="P23" s="887"/>
      <c r="Q23" s="883"/>
      <c r="R23" s="898"/>
      <c r="S23" s="937"/>
      <c r="T23" s="885"/>
      <c r="U23">
        <v>2012</v>
      </c>
      <c r="W23" s="881">
        <f t="shared" si="3"/>
        <v>0</v>
      </c>
    </row>
    <row r="24" spans="1:23" ht="15" customHeight="1">
      <c r="A24" s="948">
        <f t="shared" si="2"/>
        <v>12</v>
      </c>
      <c r="B24" s="949" t="s">
        <v>318</v>
      </c>
      <c r="C24" s="950">
        <v>2</v>
      </c>
      <c r="D24" s="954">
        <v>2</v>
      </c>
      <c r="E24" s="953">
        <v>0.0494</v>
      </c>
      <c r="F24" s="952">
        <f t="shared" si="0"/>
        <v>78.4284774</v>
      </c>
      <c r="G24" s="882">
        <v>0</v>
      </c>
      <c r="H24" s="936">
        <v>78.4284774</v>
      </c>
      <c r="I24" s="896"/>
      <c r="J24" s="891"/>
      <c r="K24" s="885"/>
      <c r="L24" s="897"/>
      <c r="M24" s="889"/>
      <c r="N24" s="883"/>
      <c r="O24" s="897"/>
      <c r="P24" s="889"/>
      <c r="Q24" s="885"/>
      <c r="R24" s="894">
        <v>2</v>
      </c>
      <c r="S24" s="887">
        <v>0.0494</v>
      </c>
      <c r="T24" s="936">
        <v>78.4284774</v>
      </c>
      <c r="U24">
        <v>2012</v>
      </c>
      <c r="W24" s="881">
        <f t="shared" si="3"/>
        <v>0</v>
      </c>
    </row>
    <row r="25" spans="1:23" ht="15" customHeight="1">
      <c r="A25" s="948">
        <f t="shared" si="2"/>
        <v>13</v>
      </c>
      <c r="B25" s="949" t="s">
        <v>319</v>
      </c>
      <c r="C25" s="950">
        <v>2</v>
      </c>
      <c r="D25" s="954">
        <v>2</v>
      </c>
      <c r="E25" s="953">
        <v>0.0514</v>
      </c>
      <c r="F25" s="952">
        <f t="shared" si="0"/>
        <v>81.6037194</v>
      </c>
      <c r="G25" s="882">
        <v>0</v>
      </c>
      <c r="H25" s="936">
        <v>81.6037194</v>
      </c>
      <c r="I25" s="896"/>
      <c r="J25" s="891"/>
      <c r="K25" s="885"/>
      <c r="L25" s="897"/>
      <c r="M25" s="889"/>
      <c r="N25" s="883"/>
      <c r="O25" s="897"/>
      <c r="P25" s="889"/>
      <c r="Q25" s="885"/>
      <c r="R25" s="894">
        <v>2</v>
      </c>
      <c r="S25" s="887">
        <v>0.0514</v>
      </c>
      <c r="T25" s="936">
        <v>81.6037194</v>
      </c>
      <c r="U25">
        <v>2012</v>
      </c>
      <c r="W25" s="881">
        <f t="shared" si="3"/>
        <v>0</v>
      </c>
    </row>
    <row r="26" spans="1:23" s="20" customFormat="1" ht="15" customHeight="1">
      <c r="A26" s="948">
        <f t="shared" si="2"/>
        <v>14</v>
      </c>
      <c r="B26" s="949" t="s">
        <v>320</v>
      </c>
      <c r="C26" s="950">
        <v>2</v>
      </c>
      <c r="D26" s="954">
        <v>2</v>
      </c>
      <c r="E26" s="953">
        <v>0.0683</v>
      </c>
      <c r="F26" s="952">
        <f t="shared" si="0"/>
        <v>108.4345143</v>
      </c>
      <c r="G26" s="882">
        <v>0</v>
      </c>
      <c r="H26" s="883">
        <v>108.4345143</v>
      </c>
      <c r="I26" s="896"/>
      <c r="J26" s="891"/>
      <c r="K26" s="885"/>
      <c r="L26" s="897"/>
      <c r="M26" s="889"/>
      <c r="N26" s="883"/>
      <c r="O26" s="897"/>
      <c r="P26" s="889"/>
      <c r="Q26" s="885"/>
      <c r="R26" s="894">
        <v>2</v>
      </c>
      <c r="S26" s="887">
        <v>0.0683</v>
      </c>
      <c r="T26" s="883">
        <v>108.4345143</v>
      </c>
      <c r="U26" s="793">
        <v>2012</v>
      </c>
      <c r="W26" s="881">
        <f t="shared" si="3"/>
        <v>0</v>
      </c>
    </row>
    <row r="27" spans="1:23" s="20" customFormat="1" ht="15" customHeight="1">
      <c r="A27" s="948">
        <f t="shared" si="2"/>
        <v>15</v>
      </c>
      <c r="B27" s="949" t="s">
        <v>321</v>
      </c>
      <c r="C27" s="950">
        <v>2</v>
      </c>
      <c r="D27" s="954">
        <v>2</v>
      </c>
      <c r="E27" s="953">
        <v>0.053</v>
      </c>
      <c r="F27" s="952">
        <f t="shared" si="0"/>
        <v>84.143913</v>
      </c>
      <c r="G27" s="882">
        <v>0</v>
      </c>
      <c r="H27" s="883">
        <v>84.143913</v>
      </c>
      <c r="I27" s="896"/>
      <c r="J27" s="891"/>
      <c r="K27" s="885"/>
      <c r="L27" s="897"/>
      <c r="M27" s="889"/>
      <c r="N27" s="883"/>
      <c r="O27" s="897"/>
      <c r="P27" s="889"/>
      <c r="Q27" s="885"/>
      <c r="R27" s="894">
        <v>2</v>
      </c>
      <c r="S27" s="887">
        <v>0.053</v>
      </c>
      <c r="T27" s="883">
        <v>84.143913</v>
      </c>
      <c r="U27" s="793">
        <v>2012</v>
      </c>
      <c r="W27" s="881">
        <f t="shared" si="3"/>
        <v>0</v>
      </c>
    </row>
    <row r="28" spans="1:23" ht="15" customHeight="1">
      <c r="A28" s="948">
        <f t="shared" si="2"/>
        <v>16</v>
      </c>
      <c r="B28" s="949" t="s">
        <v>322</v>
      </c>
      <c r="C28" s="950">
        <v>3</v>
      </c>
      <c r="D28" s="954">
        <v>2</v>
      </c>
      <c r="E28" s="953">
        <v>0.0726</v>
      </c>
      <c r="F28" s="952">
        <f t="shared" si="0"/>
        <v>115.26128460000001</v>
      </c>
      <c r="G28" s="882">
        <v>0</v>
      </c>
      <c r="H28" s="883">
        <v>115.26128460000001</v>
      </c>
      <c r="I28" s="896"/>
      <c r="J28" s="891"/>
      <c r="K28" s="885"/>
      <c r="L28" s="897"/>
      <c r="M28" s="889"/>
      <c r="N28" s="883"/>
      <c r="O28" s="894">
        <v>2</v>
      </c>
      <c r="P28" s="887">
        <v>0.0726</v>
      </c>
      <c r="Q28" s="883">
        <v>115.26128460000001</v>
      </c>
      <c r="R28" s="898"/>
      <c r="S28" s="937"/>
      <c r="T28" s="885"/>
      <c r="U28" s="793">
        <v>2012</v>
      </c>
      <c r="V28" s="20"/>
      <c r="W28" s="881">
        <f t="shared" si="3"/>
        <v>0</v>
      </c>
    </row>
    <row r="29" spans="1:23" ht="15" customHeight="1">
      <c r="A29" s="948">
        <f t="shared" si="2"/>
        <v>17</v>
      </c>
      <c r="B29" s="949" t="s">
        <v>324</v>
      </c>
      <c r="C29" s="950">
        <v>4</v>
      </c>
      <c r="D29" s="954">
        <v>4</v>
      </c>
      <c r="E29" s="953">
        <v>0.3912</v>
      </c>
      <c r="F29" s="952">
        <f t="shared" si="0"/>
        <v>621.0773352</v>
      </c>
      <c r="G29" s="882">
        <v>0</v>
      </c>
      <c r="H29" s="883">
        <v>621.0773352</v>
      </c>
      <c r="I29" s="896"/>
      <c r="J29" s="891"/>
      <c r="K29" s="885"/>
      <c r="L29" s="897"/>
      <c r="M29" s="889"/>
      <c r="N29" s="883"/>
      <c r="O29" s="897"/>
      <c r="P29" s="889"/>
      <c r="Q29" s="885"/>
      <c r="R29" s="894">
        <v>4</v>
      </c>
      <c r="S29" s="887">
        <v>0.3912</v>
      </c>
      <c r="T29" s="883">
        <v>621.0773352</v>
      </c>
      <c r="U29">
        <v>2012</v>
      </c>
      <c r="W29" s="881">
        <f t="shared" si="3"/>
        <v>0</v>
      </c>
    </row>
    <row r="30" spans="1:23" ht="15" customHeight="1">
      <c r="A30" s="948">
        <f t="shared" si="2"/>
        <v>18</v>
      </c>
      <c r="B30" s="949" t="s">
        <v>258</v>
      </c>
      <c r="C30" s="950">
        <v>9</v>
      </c>
      <c r="D30" s="954">
        <v>8</v>
      </c>
      <c r="E30" s="953">
        <v>1.626</v>
      </c>
      <c r="F30" s="952">
        <f t="shared" si="0"/>
        <v>2581.471746</v>
      </c>
      <c r="G30" s="882">
        <v>0</v>
      </c>
      <c r="H30" s="883">
        <v>2581.471746</v>
      </c>
      <c r="I30" s="896"/>
      <c r="J30" s="891"/>
      <c r="K30" s="885"/>
      <c r="L30" s="895">
        <v>8</v>
      </c>
      <c r="M30" s="890">
        <v>1.626</v>
      </c>
      <c r="N30" s="892">
        <v>2581.471746</v>
      </c>
      <c r="O30" s="897"/>
      <c r="P30" s="889"/>
      <c r="Q30" s="885"/>
      <c r="R30" s="901"/>
      <c r="S30" s="884"/>
      <c r="T30" s="885"/>
      <c r="U30" s="792">
        <v>2012</v>
      </c>
      <c r="W30" s="881">
        <f t="shared" si="3"/>
        <v>0</v>
      </c>
    </row>
    <row r="31" spans="1:23" ht="15" customHeight="1">
      <c r="A31" s="948">
        <f t="shared" si="2"/>
        <v>19</v>
      </c>
      <c r="B31" s="949" t="s">
        <v>163</v>
      </c>
      <c r="C31" s="950">
        <v>9</v>
      </c>
      <c r="D31" s="954">
        <v>2</v>
      </c>
      <c r="E31" s="953">
        <v>0.5174</v>
      </c>
      <c r="F31" s="952">
        <f t="shared" si="0"/>
        <v>821.4351054</v>
      </c>
      <c r="G31" s="882">
        <v>0</v>
      </c>
      <c r="H31" s="883">
        <v>821.4351054</v>
      </c>
      <c r="I31" s="896"/>
      <c r="J31" s="891"/>
      <c r="K31" s="885"/>
      <c r="L31" s="897"/>
      <c r="M31" s="889"/>
      <c r="N31" s="883"/>
      <c r="O31" s="897"/>
      <c r="P31" s="889"/>
      <c r="Q31" s="885"/>
      <c r="R31" s="894">
        <v>2</v>
      </c>
      <c r="S31" s="887">
        <v>0.5174</v>
      </c>
      <c r="T31" s="883">
        <v>821.4351054</v>
      </c>
      <c r="U31">
        <v>2012</v>
      </c>
      <c r="W31" s="881">
        <f t="shared" si="3"/>
        <v>0</v>
      </c>
    </row>
    <row r="32" spans="1:23" ht="15" customHeight="1">
      <c r="A32" s="948">
        <f t="shared" si="2"/>
        <v>20</v>
      </c>
      <c r="B32" s="949" t="s">
        <v>267</v>
      </c>
      <c r="C32" s="950">
        <v>4</v>
      </c>
      <c r="D32" s="954">
        <v>2</v>
      </c>
      <c r="E32" s="953">
        <v>0.1129</v>
      </c>
      <c r="F32" s="952">
        <f t="shared" si="0"/>
        <v>179.2424109</v>
      </c>
      <c r="G32" s="882">
        <v>0</v>
      </c>
      <c r="H32" s="883">
        <v>179.2424109</v>
      </c>
      <c r="I32" s="895">
        <v>2</v>
      </c>
      <c r="J32" s="890">
        <v>0.1129</v>
      </c>
      <c r="K32" s="892">
        <v>179.2424109</v>
      </c>
      <c r="L32" s="897"/>
      <c r="M32" s="889"/>
      <c r="N32" s="883"/>
      <c r="O32" s="897"/>
      <c r="P32" s="889"/>
      <c r="Q32" s="885"/>
      <c r="R32" s="901"/>
      <c r="S32" s="937"/>
      <c r="T32" s="885"/>
      <c r="U32" s="792">
        <v>2013</v>
      </c>
      <c r="W32" s="881">
        <f t="shared" si="3"/>
        <v>0</v>
      </c>
    </row>
    <row r="33" spans="1:23" ht="15" customHeight="1">
      <c r="A33" s="948">
        <f t="shared" si="2"/>
        <v>21</v>
      </c>
      <c r="B33" s="949" t="s">
        <v>246</v>
      </c>
      <c r="C33" s="950">
        <v>3</v>
      </c>
      <c r="D33" s="954">
        <v>2</v>
      </c>
      <c r="E33" s="953">
        <v>0.0826</v>
      </c>
      <c r="F33" s="952">
        <f t="shared" si="0"/>
        <v>131.13749460000003</v>
      </c>
      <c r="G33" s="882">
        <v>0</v>
      </c>
      <c r="H33" s="883">
        <v>131.13749460000003</v>
      </c>
      <c r="I33" s="896"/>
      <c r="J33" s="891"/>
      <c r="K33" s="885"/>
      <c r="L33" s="897"/>
      <c r="M33" s="889"/>
      <c r="N33" s="883"/>
      <c r="O33" s="894">
        <v>2</v>
      </c>
      <c r="P33" s="887">
        <v>0.0826</v>
      </c>
      <c r="Q33" s="883">
        <f aca="true" t="shared" si="4" ref="Q33">P33*1587.621</f>
        <v>131.13749460000003</v>
      </c>
      <c r="R33" s="898"/>
      <c r="S33" s="937"/>
      <c r="T33" s="885"/>
      <c r="U33">
        <v>2012</v>
      </c>
      <c r="W33" s="881">
        <f t="shared" si="3"/>
        <v>0</v>
      </c>
    </row>
    <row r="34" spans="1:23" ht="15" customHeight="1">
      <c r="A34" s="948">
        <f t="shared" si="2"/>
        <v>22</v>
      </c>
      <c r="B34" s="949" t="s">
        <v>327</v>
      </c>
      <c r="C34" s="950">
        <v>5</v>
      </c>
      <c r="D34" s="954">
        <v>8</v>
      </c>
      <c r="E34" s="953">
        <v>0.4962</v>
      </c>
      <c r="F34" s="952">
        <f t="shared" si="0"/>
        <v>787.7775402</v>
      </c>
      <c r="G34" s="882">
        <v>0</v>
      </c>
      <c r="H34" s="883">
        <v>787.7775402</v>
      </c>
      <c r="I34" s="896">
        <v>8</v>
      </c>
      <c r="J34" s="891">
        <v>0.4962</v>
      </c>
      <c r="K34" s="885">
        <v>787.7775402</v>
      </c>
      <c r="L34" s="897"/>
      <c r="M34" s="889"/>
      <c r="N34" s="883"/>
      <c r="O34" s="897"/>
      <c r="P34" s="889"/>
      <c r="Q34" s="883"/>
      <c r="R34" s="894"/>
      <c r="S34" s="887"/>
      <c r="T34" s="883"/>
      <c r="U34">
        <v>2012</v>
      </c>
      <c r="W34" s="881">
        <f t="shared" si="3"/>
        <v>0</v>
      </c>
    </row>
    <row r="35" spans="1:23" ht="15" customHeight="1">
      <c r="A35" s="948">
        <f t="shared" si="2"/>
        <v>23</v>
      </c>
      <c r="B35" s="949" t="s">
        <v>326</v>
      </c>
      <c r="C35" s="950">
        <v>3</v>
      </c>
      <c r="D35" s="954">
        <v>2</v>
      </c>
      <c r="E35" s="953">
        <v>0.072</v>
      </c>
      <c r="F35" s="952">
        <f t="shared" si="0"/>
        <v>114.308712</v>
      </c>
      <c r="G35" s="882">
        <v>0</v>
      </c>
      <c r="H35" s="883">
        <v>114.308712</v>
      </c>
      <c r="I35" s="896"/>
      <c r="J35" s="891"/>
      <c r="K35" s="885"/>
      <c r="L35" s="897"/>
      <c r="M35" s="889"/>
      <c r="N35" s="883"/>
      <c r="O35" s="894">
        <v>2</v>
      </c>
      <c r="P35" s="887">
        <v>0.072</v>
      </c>
      <c r="Q35" s="883">
        <f aca="true" t="shared" si="5" ref="Q35:Q37">P35*1587.621</f>
        <v>114.308712</v>
      </c>
      <c r="R35" s="898"/>
      <c r="S35" s="937"/>
      <c r="T35" s="885"/>
      <c r="U35" s="793">
        <v>2012</v>
      </c>
      <c r="V35" s="20"/>
      <c r="W35" s="881">
        <f t="shared" si="3"/>
        <v>0</v>
      </c>
    </row>
    <row r="36" spans="1:23" s="20" customFormat="1" ht="15" customHeight="1">
      <c r="A36" s="948">
        <f t="shared" si="2"/>
        <v>24</v>
      </c>
      <c r="B36" s="949" t="s">
        <v>309</v>
      </c>
      <c r="C36" s="950">
        <v>2</v>
      </c>
      <c r="D36" s="954">
        <v>2</v>
      </c>
      <c r="E36" s="953">
        <v>0.05</v>
      </c>
      <c r="F36" s="952">
        <f t="shared" si="0"/>
        <v>79.38105000000002</v>
      </c>
      <c r="G36" s="882">
        <v>0</v>
      </c>
      <c r="H36" s="883">
        <v>79.38105000000002</v>
      </c>
      <c r="I36" s="897"/>
      <c r="J36" s="889"/>
      <c r="K36" s="883"/>
      <c r="L36" s="897"/>
      <c r="M36" s="889"/>
      <c r="N36" s="883"/>
      <c r="O36" s="895">
        <v>2</v>
      </c>
      <c r="P36" s="890">
        <v>0.05</v>
      </c>
      <c r="Q36" s="892">
        <f t="shared" si="5"/>
        <v>79.38105000000002</v>
      </c>
      <c r="R36" s="901"/>
      <c r="S36" s="937"/>
      <c r="T36" s="885"/>
      <c r="U36" s="792">
        <v>2013</v>
      </c>
      <c r="V36"/>
      <c r="W36" s="881">
        <f t="shared" si="3"/>
        <v>0</v>
      </c>
    </row>
    <row r="37" spans="1:23" ht="15" customHeight="1">
      <c r="A37" s="948">
        <f t="shared" si="2"/>
        <v>25</v>
      </c>
      <c r="B37" s="949" t="s">
        <v>66</v>
      </c>
      <c r="C37" s="950">
        <v>2</v>
      </c>
      <c r="D37" s="954">
        <v>2</v>
      </c>
      <c r="E37" s="953">
        <v>0.041</v>
      </c>
      <c r="F37" s="952">
        <f t="shared" si="0"/>
        <v>65.092461</v>
      </c>
      <c r="G37" s="882">
        <v>0</v>
      </c>
      <c r="H37" s="883">
        <v>65.092461</v>
      </c>
      <c r="I37" s="897"/>
      <c r="J37" s="889"/>
      <c r="K37" s="883"/>
      <c r="L37" s="897"/>
      <c r="M37" s="889"/>
      <c r="N37" s="883"/>
      <c r="O37" s="894">
        <v>2</v>
      </c>
      <c r="P37" s="887">
        <v>0.041</v>
      </c>
      <c r="Q37" s="883">
        <f t="shared" si="5"/>
        <v>65.092461</v>
      </c>
      <c r="R37" s="901"/>
      <c r="S37" s="937"/>
      <c r="T37" s="885"/>
      <c r="U37" s="792">
        <v>2013</v>
      </c>
      <c r="W37" s="881">
        <f t="shared" si="3"/>
        <v>0</v>
      </c>
    </row>
    <row r="38" spans="1:27" ht="15" customHeight="1">
      <c r="A38" s="948">
        <f t="shared" si="2"/>
        <v>26</v>
      </c>
      <c r="B38" s="949" t="s">
        <v>140</v>
      </c>
      <c r="C38" s="950">
        <v>4</v>
      </c>
      <c r="D38" s="954">
        <v>3</v>
      </c>
      <c r="E38" s="953">
        <v>0.1563</v>
      </c>
      <c r="F38" s="952">
        <f t="shared" si="0"/>
        <v>248.1451623</v>
      </c>
      <c r="G38" s="882">
        <v>0</v>
      </c>
      <c r="H38" s="883">
        <v>248.1451623</v>
      </c>
      <c r="I38" s="896"/>
      <c r="J38" s="891"/>
      <c r="K38" s="885"/>
      <c r="L38" s="894"/>
      <c r="M38" s="887"/>
      <c r="N38" s="883"/>
      <c r="O38" s="897">
        <v>3</v>
      </c>
      <c r="P38" s="889">
        <v>0.1563</v>
      </c>
      <c r="Q38" s="885">
        <v>248.1451623</v>
      </c>
      <c r="R38" s="898"/>
      <c r="S38" s="937"/>
      <c r="T38" s="885"/>
      <c r="U38">
        <v>2012</v>
      </c>
      <c r="W38" s="881">
        <f t="shared" si="3"/>
        <v>0</v>
      </c>
      <c r="AA38" s="90"/>
    </row>
    <row r="39" spans="1:23" ht="15" customHeight="1">
      <c r="A39" s="948">
        <f t="shared" si="2"/>
        <v>27</v>
      </c>
      <c r="B39" s="949" t="s">
        <v>328</v>
      </c>
      <c r="C39" s="950">
        <v>5</v>
      </c>
      <c r="D39" s="954">
        <v>3</v>
      </c>
      <c r="E39" s="953">
        <v>0.249</v>
      </c>
      <c r="F39" s="952">
        <f t="shared" si="0"/>
        <v>395.317629</v>
      </c>
      <c r="G39" s="882">
        <v>0</v>
      </c>
      <c r="H39" s="883">
        <v>395.317629</v>
      </c>
      <c r="I39" s="894"/>
      <c r="J39" s="887"/>
      <c r="K39" s="883"/>
      <c r="L39" s="897"/>
      <c r="M39" s="889"/>
      <c r="N39" s="883"/>
      <c r="O39" s="897">
        <v>3</v>
      </c>
      <c r="P39" s="889">
        <v>0.249</v>
      </c>
      <c r="Q39" s="885">
        <v>395.317629</v>
      </c>
      <c r="R39" s="898"/>
      <c r="S39" s="937"/>
      <c r="T39" s="883"/>
      <c r="U39">
        <v>2012</v>
      </c>
      <c r="W39" s="881">
        <f t="shared" si="3"/>
        <v>0</v>
      </c>
    </row>
    <row r="40" spans="1:23" ht="15" customHeight="1">
      <c r="A40" s="948">
        <f t="shared" si="2"/>
        <v>28</v>
      </c>
      <c r="B40" s="949" t="s">
        <v>91</v>
      </c>
      <c r="C40" s="950">
        <v>5</v>
      </c>
      <c r="D40" s="954">
        <v>4</v>
      </c>
      <c r="E40" s="953">
        <v>0.4485</v>
      </c>
      <c r="F40" s="952">
        <f t="shared" si="0"/>
        <v>712.0480185</v>
      </c>
      <c r="G40" s="882">
        <v>0</v>
      </c>
      <c r="H40" s="883">
        <v>712.0480185</v>
      </c>
      <c r="I40" s="896"/>
      <c r="J40" s="891"/>
      <c r="K40" s="883"/>
      <c r="L40" s="897"/>
      <c r="M40" s="889"/>
      <c r="N40" s="883"/>
      <c r="O40" s="895">
        <v>4</v>
      </c>
      <c r="P40" s="890">
        <v>0.4485</v>
      </c>
      <c r="Q40" s="892">
        <f aca="true" t="shared" si="6" ref="Q40">P40*1587.621</f>
        <v>712.0480185</v>
      </c>
      <c r="R40" s="902"/>
      <c r="S40" s="937"/>
      <c r="T40" s="885"/>
      <c r="U40" s="793">
        <v>2009</v>
      </c>
      <c r="V40" s="20"/>
      <c r="W40" s="881">
        <f t="shared" si="3"/>
        <v>0</v>
      </c>
    </row>
    <row r="41" spans="1:23" ht="15" customHeight="1">
      <c r="A41" s="948">
        <f t="shared" si="2"/>
        <v>29</v>
      </c>
      <c r="B41" s="949" t="s">
        <v>310</v>
      </c>
      <c r="C41" s="950">
        <v>5</v>
      </c>
      <c r="D41" s="954">
        <v>6</v>
      </c>
      <c r="E41" s="953">
        <v>0.449</v>
      </c>
      <c r="F41" s="952">
        <f t="shared" si="0"/>
        <v>712.8418290000001</v>
      </c>
      <c r="G41" s="882">
        <v>0</v>
      </c>
      <c r="H41" s="883">
        <v>712.8418290000001</v>
      </c>
      <c r="I41" s="896"/>
      <c r="J41" s="891"/>
      <c r="K41" s="885"/>
      <c r="L41" s="897"/>
      <c r="M41" s="889"/>
      <c r="N41" s="883"/>
      <c r="O41" s="895">
        <v>6</v>
      </c>
      <c r="P41" s="890">
        <v>0.449</v>
      </c>
      <c r="Q41" s="892">
        <f aca="true" t="shared" si="7" ref="Q41">P41*1587.621</f>
        <v>712.8418290000001</v>
      </c>
      <c r="R41" s="902"/>
      <c r="S41" s="937"/>
      <c r="T41" s="885"/>
      <c r="U41" s="792">
        <v>2013</v>
      </c>
      <c r="W41" s="881">
        <f t="shared" si="3"/>
        <v>0</v>
      </c>
    </row>
    <row r="42" spans="1:23" ht="15" customHeight="1">
      <c r="A42" s="948">
        <f t="shared" si="2"/>
        <v>30</v>
      </c>
      <c r="B42" s="949" t="s">
        <v>668</v>
      </c>
      <c r="C42" s="950">
        <v>5</v>
      </c>
      <c r="D42" s="954">
        <v>6</v>
      </c>
      <c r="E42" s="953">
        <v>0.4564</v>
      </c>
      <c r="F42" s="952">
        <f t="shared" si="0"/>
        <v>724.5902244</v>
      </c>
      <c r="G42" s="882">
        <v>0</v>
      </c>
      <c r="H42" s="883">
        <v>724.5902244</v>
      </c>
      <c r="I42" s="896"/>
      <c r="J42" s="891"/>
      <c r="K42" s="885"/>
      <c r="L42" s="897"/>
      <c r="M42" s="889"/>
      <c r="N42" s="883"/>
      <c r="O42" s="897"/>
      <c r="P42" s="889"/>
      <c r="Q42" s="885"/>
      <c r="R42" s="894">
        <v>6</v>
      </c>
      <c r="S42" s="887">
        <v>0.4564</v>
      </c>
      <c r="T42" s="883">
        <f aca="true" t="shared" si="8" ref="T42:T43">S42*1587.621</f>
        <v>724.5902244</v>
      </c>
      <c r="U42">
        <v>2012</v>
      </c>
      <c r="W42" s="881">
        <f t="shared" si="3"/>
        <v>0</v>
      </c>
    </row>
    <row r="43" spans="1:23" ht="15" customHeight="1">
      <c r="A43" s="948">
        <f t="shared" si="2"/>
        <v>31</v>
      </c>
      <c r="B43" s="949" t="s">
        <v>329</v>
      </c>
      <c r="C43" s="950">
        <v>5</v>
      </c>
      <c r="D43" s="954">
        <v>4</v>
      </c>
      <c r="E43" s="953">
        <v>0.3028</v>
      </c>
      <c r="F43" s="952">
        <f t="shared" si="0"/>
        <v>480.73163880000004</v>
      </c>
      <c r="G43" s="882">
        <v>0</v>
      </c>
      <c r="H43" s="883">
        <v>480.73163880000004</v>
      </c>
      <c r="I43" s="896"/>
      <c r="J43" s="891"/>
      <c r="K43" s="885"/>
      <c r="L43" s="897"/>
      <c r="M43" s="889"/>
      <c r="N43" s="883"/>
      <c r="O43" s="897"/>
      <c r="P43" s="889"/>
      <c r="Q43" s="885"/>
      <c r="R43" s="894">
        <v>4</v>
      </c>
      <c r="S43" s="887">
        <v>0.3028</v>
      </c>
      <c r="T43" s="883">
        <f t="shared" si="8"/>
        <v>480.73163880000004</v>
      </c>
      <c r="U43">
        <v>2012</v>
      </c>
      <c r="W43" s="881">
        <f t="shared" si="3"/>
        <v>0</v>
      </c>
    </row>
    <row r="44" spans="1:23" ht="15" customHeight="1" thickBot="1">
      <c r="A44" s="948">
        <f t="shared" si="2"/>
        <v>32</v>
      </c>
      <c r="B44" s="949" t="s">
        <v>175</v>
      </c>
      <c r="C44" s="950">
        <v>5</v>
      </c>
      <c r="D44" s="954">
        <v>6</v>
      </c>
      <c r="E44" s="953">
        <v>0.678</v>
      </c>
      <c r="F44" s="952">
        <f t="shared" si="0"/>
        <v>1076.407038</v>
      </c>
      <c r="G44" s="882">
        <v>0</v>
      </c>
      <c r="H44" s="883">
        <v>1076.407038</v>
      </c>
      <c r="I44" s="896"/>
      <c r="J44" s="891"/>
      <c r="K44" s="885"/>
      <c r="L44" s="894">
        <v>6</v>
      </c>
      <c r="M44" s="887">
        <v>0.678</v>
      </c>
      <c r="N44" s="883">
        <f aca="true" t="shared" si="9" ref="N44">M44*1587.621</f>
        <v>1076.407038</v>
      </c>
      <c r="O44" s="897"/>
      <c r="P44" s="889"/>
      <c r="Q44" s="885"/>
      <c r="R44" s="898"/>
      <c r="S44" s="937"/>
      <c r="T44" s="885"/>
      <c r="U44" s="792">
        <v>2012</v>
      </c>
      <c r="W44" s="881">
        <f t="shared" si="3"/>
        <v>0</v>
      </c>
    </row>
    <row r="45" spans="1:24" ht="15" customHeight="1" thickBot="1">
      <c r="A45" s="13"/>
      <c r="B45" s="14" t="s">
        <v>8</v>
      </c>
      <c r="C45" s="723">
        <f aca="true" t="shared" si="10" ref="C45:T45">SUM(C13:C44)</f>
        <v>129</v>
      </c>
      <c r="D45" s="939">
        <f t="shared" si="10"/>
        <v>110</v>
      </c>
      <c r="E45" s="940">
        <f t="shared" si="10"/>
        <v>8.979600000000001</v>
      </c>
      <c r="F45" s="938">
        <f t="shared" si="10"/>
        <v>14256.201531600002</v>
      </c>
      <c r="G45" s="893">
        <f t="shared" si="10"/>
        <v>0</v>
      </c>
      <c r="H45" s="938">
        <f t="shared" si="10"/>
        <v>14256.201531600002</v>
      </c>
      <c r="I45" s="939">
        <f t="shared" si="10"/>
        <v>30</v>
      </c>
      <c r="J45" s="940">
        <f t="shared" si="10"/>
        <v>2.1820000000000004</v>
      </c>
      <c r="K45" s="938">
        <f t="shared" si="10"/>
        <v>3464.1890219999996</v>
      </c>
      <c r="L45" s="939">
        <f t="shared" si="10"/>
        <v>20</v>
      </c>
      <c r="M45" s="940">
        <f t="shared" si="10"/>
        <v>2.6090999999999998</v>
      </c>
      <c r="N45" s="938">
        <f t="shared" si="10"/>
        <v>4142.2619511</v>
      </c>
      <c r="O45" s="939">
        <f t="shared" si="10"/>
        <v>30</v>
      </c>
      <c r="P45" s="940">
        <f t="shared" si="10"/>
        <v>1.933</v>
      </c>
      <c r="Q45" s="938">
        <f t="shared" si="10"/>
        <v>3068.8713930000004</v>
      </c>
      <c r="R45" s="939">
        <f t="shared" si="10"/>
        <v>31</v>
      </c>
      <c r="S45" s="940">
        <f t="shared" si="10"/>
        <v>2.2555</v>
      </c>
      <c r="T45" s="938">
        <f t="shared" si="10"/>
        <v>3580.8791655</v>
      </c>
      <c r="W45" s="881">
        <f t="shared" si="3"/>
        <v>0</v>
      </c>
      <c r="X45">
        <f>10.966/4</f>
        <v>2.7415</v>
      </c>
    </row>
    <row r="46" spans="1:23" ht="16.5" customHeight="1" hidden="1">
      <c r="A46" s="15"/>
      <c r="B46" s="16"/>
      <c r="C46" s="17"/>
      <c r="D46" s="17"/>
      <c r="E46" s="18"/>
      <c r="F46" s="19"/>
      <c r="G46" s="19"/>
      <c r="H46" s="19"/>
      <c r="I46" s="19"/>
      <c r="J46" s="19">
        <v>2.7415</v>
      </c>
      <c r="K46" s="19"/>
      <c r="L46" s="19"/>
      <c r="M46" s="19">
        <v>2.7415</v>
      </c>
      <c r="N46" s="19"/>
      <c r="O46" s="19"/>
      <c r="P46" s="19">
        <v>2.7415</v>
      </c>
      <c r="Q46" s="19"/>
      <c r="R46" s="19"/>
      <c r="S46" s="19">
        <v>2.7415</v>
      </c>
      <c r="T46" s="19"/>
      <c r="W46" s="881"/>
    </row>
    <row r="47" spans="1:23" ht="15" customHeight="1" hidden="1">
      <c r="A47" s="15"/>
      <c r="B47" s="16"/>
      <c r="C47" s="17"/>
      <c r="D47" s="17"/>
      <c r="E47" s="18"/>
      <c r="F47" s="19"/>
      <c r="G47" s="19"/>
      <c r="H47" s="19"/>
      <c r="I47" s="19"/>
      <c r="J47" s="19">
        <f>J46-J45</f>
        <v>0.5594999999999994</v>
      </c>
      <c r="K47" s="19"/>
      <c r="L47" s="19"/>
      <c r="M47" s="19">
        <f>M46-M45</f>
        <v>0.13240000000000007</v>
      </c>
      <c r="N47" s="19"/>
      <c r="O47" s="19"/>
      <c r="P47" s="19">
        <f>P46-P45</f>
        <v>0.8084999999999998</v>
      </c>
      <c r="Q47" s="19"/>
      <c r="R47" s="19"/>
      <c r="S47" s="19">
        <f>S46-S45</f>
        <v>0.48599999999999977</v>
      </c>
      <c r="T47" s="19"/>
      <c r="W47" s="881"/>
    </row>
    <row r="48" spans="1:20" ht="15" customHeight="1">
      <c r="A48" s="15"/>
      <c r="B48" s="16"/>
      <c r="C48" s="16"/>
      <c r="D48" s="17"/>
      <c r="E48" s="1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0" ht="12.75">
      <c r="A49" s="20"/>
      <c r="B49" s="20"/>
      <c r="C49" s="20"/>
      <c r="D49" s="20"/>
      <c r="E49" s="20"/>
      <c r="F49" s="20"/>
      <c r="G49" s="20"/>
      <c r="H49" s="20"/>
      <c r="I49" s="20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</row>
    <row r="50" spans="1:20" ht="15.75">
      <c r="A50" s="20"/>
      <c r="B50" s="1985" t="s">
        <v>37</v>
      </c>
      <c r="C50" s="1985"/>
      <c r="D50" s="690"/>
      <c r="E50" s="1"/>
      <c r="F50" s="2"/>
      <c r="G50" s="2"/>
      <c r="H50" s="2"/>
      <c r="I50" s="20"/>
      <c r="J50" s="20"/>
      <c r="K50" s="20"/>
      <c r="L50" s="20"/>
      <c r="M50" s="20"/>
      <c r="N50" s="2" t="s">
        <v>38</v>
      </c>
      <c r="O50" s="20"/>
      <c r="P50" s="20"/>
      <c r="Q50" s="20"/>
      <c r="R50" s="20"/>
      <c r="S50" s="20"/>
      <c r="T50" s="20"/>
    </row>
    <row r="51" spans="1:20" ht="12.75" customHeight="1" hidden="1">
      <c r="A51" s="20"/>
      <c r="B51" s="22"/>
      <c r="C51" s="22"/>
      <c r="D51" s="22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2:4" ht="12.75" customHeight="1" hidden="1">
      <c r="B52" s="23"/>
      <c r="C52" s="23"/>
      <c r="D52" s="23"/>
    </row>
    <row r="53" spans="2:4" ht="12.75" customHeight="1" hidden="1">
      <c r="B53" s="23"/>
      <c r="C53" s="24"/>
      <c r="D53" s="23"/>
    </row>
    <row r="54" spans="2:4" ht="12.75" customHeight="1" hidden="1">
      <c r="B54" s="25" t="s">
        <v>39</v>
      </c>
      <c r="C54" s="23"/>
      <c r="D54" s="23"/>
    </row>
    <row r="55" spans="2:4" ht="12.75" customHeight="1" hidden="1">
      <c r="B55" s="26">
        <v>1176.43</v>
      </c>
      <c r="C55" s="23"/>
      <c r="D55" s="23"/>
    </row>
    <row r="56" spans="2:4" ht="12.75" customHeight="1" hidden="1">
      <c r="B56" s="23"/>
      <c r="C56" s="23"/>
      <c r="D56" s="23"/>
    </row>
    <row r="57" ht="12.75" customHeight="1" hidden="1"/>
    <row r="58" ht="12.75" customHeight="1" hidden="1"/>
    <row r="59" ht="12.75">
      <c r="N59" s="27"/>
    </row>
    <row r="61" spans="4:6" ht="12.75">
      <c r="D61" s="28"/>
      <c r="F61" s="90"/>
    </row>
    <row r="62" ht="12.75">
      <c r="D62" s="28"/>
    </row>
    <row r="65" ht="12.75">
      <c r="B65" s="27"/>
    </row>
    <row r="66" ht="12.75">
      <c r="B66" s="27"/>
    </row>
  </sheetData>
  <autoFilter ref="A12:U48"/>
  <mergeCells count="23">
    <mergeCell ref="B50:C50"/>
    <mergeCell ref="I9:J10"/>
    <mergeCell ref="K9:K10"/>
    <mergeCell ref="L9:M10"/>
    <mergeCell ref="G8:H8"/>
    <mergeCell ref="G9:G10"/>
    <mergeCell ref="H9:H10"/>
    <mergeCell ref="A6:T6"/>
    <mergeCell ref="A7:T7"/>
    <mergeCell ref="A8:A11"/>
    <mergeCell ref="B8:B11"/>
    <mergeCell ref="C8:C11"/>
    <mergeCell ref="I8:K8"/>
    <mergeCell ref="L8:N8"/>
    <mergeCell ref="O8:Q8"/>
    <mergeCell ref="R8:T8"/>
    <mergeCell ref="D9:E10"/>
    <mergeCell ref="Q9:Q10"/>
    <mergeCell ref="R9:S10"/>
    <mergeCell ref="T9:T10"/>
    <mergeCell ref="N9:N10"/>
    <mergeCell ref="O9:P10"/>
    <mergeCell ref="D8:F8"/>
  </mergeCells>
  <dataValidations count="1">
    <dataValidation type="custom" allowBlank="1" showInputMessage="1" showErrorMessage="1" errorTitle="Ошибка!" error="Округлите до целых!" sqref="R15">
      <formula1>MOD(R15,1)&lt;0.00001</formula1>
    </dataValidation>
  </dataValidations>
  <printOptions horizontalCentered="1"/>
  <pageMargins left="0.2362204724409449" right="0.03937007874015748" top="0.15748031496062992" bottom="0.15748031496062992" header="0" footer="0"/>
  <pageSetup fitToHeight="1" fitToWidth="1"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E24"/>
  <sheetViews>
    <sheetView workbookViewId="0" topLeftCell="A1">
      <selection activeCell="A25" sqref="A25:XFD30"/>
    </sheetView>
  </sheetViews>
  <sheetFormatPr defaultColWidth="9.00390625" defaultRowHeight="12.75"/>
  <cols>
    <col min="1" max="1" width="5.00390625" style="0" customWidth="1"/>
    <col min="2" max="2" width="27.125" style="0" customWidth="1"/>
    <col min="4" max="4" width="13.875" style="0" customWidth="1"/>
    <col min="5" max="5" width="32.00390625" style="239" customWidth="1"/>
    <col min="257" max="257" width="5.00390625" style="0" customWidth="1"/>
    <col min="258" max="258" width="27.125" style="0" customWidth="1"/>
    <col min="260" max="260" width="13.875" style="0" customWidth="1"/>
    <col min="261" max="261" width="32.00390625" style="0" customWidth="1"/>
    <col min="513" max="513" width="5.00390625" style="0" customWidth="1"/>
    <col min="514" max="514" width="27.125" style="0" customWidth="1"/>
    <col min="516" max="516" width="13.875" style="0" customWidth="1"/>
    <col min="517" max="517" width="32.00390625" style="0" customWidth="1"/>
    <col min="769" max="769" width="5.00390625" style="0" customWidth="1"/>
    <col min="770" max="770" width="27.125" style="0" customWidth="1"/>
    <col min="772" max="772" width="13.875" style="0" customWidth="1"/>
    <col min="773" max="773" width="32.00390625" style="0" customWidth="1"/>
    <col min="1025" max="1025" width="5.00390625" style="0" customWidth="1"/>
    <col min="1026" max="1026" width="27.125" style="0" customWidth="1"/>
    <col min="1028" max="1028" width="13.875" style="0" customWidth="1"/>
    <col min="1029" max="1029" width="32.00390625" style="0" customWidth="1"/>
    <col min="1281" max="1281" width="5.00390625" style="0" customWidth="1"/>
    <col min="1282" max="1282" width="27.125" style="0" customWidth="1"/>
    <col min="1284" max="1284" width="13.875" style="0" customWidth="1"/>
    <col min="1285" max="1285" width="32.00390625" style="0" customWidth="1"/>
    <col min="1537" max="1537" width="5.00390625" style="0" customWidth="1"/>
    <col min="1538" max="1538" width="27.125" style="0" customWidth="1"/>
    <col min="1540" max="1540" width="13.875" style="0" customWidth="1"/>
    <col min="1541" max="1541" width="32.00390625" style="0" customWidth="1"/>
    <col min="1793" max="1793" width="5.00390625" style="0" customWidth="1"/>
    <col min="1794" max="1794" width="27.125" style="0" customWidth="1"/>
    <col min="1796" max="1796" width="13.875" style="0" customWidth="1"/>
    <col min="1797" max="1797" width="32.00390625" style="0" customWidth="1"/>
    <col min="2049" max="2049" width="5.00390625" style="0" customWidth="1"/>
    <col min="2050" max="2050" width="27.125" style="0" customWidth="1"/>
    <col min="2052" max="2052" width="13.875" style="0" customWidth="1"/>
    <col min="2053" max="2053" width="32.00390625" style="0" customWidth="1"/>
    <col min="2305" max="2305" width="5.00390625" style="0" customWidth="1"/>
    <col min="2306" max="2306" width="27.125" style="0" customWidth="1"/>
    <col min="2308" max="2308" width="13.875" style="0" customWidth="1"/>
    <col min="2309" max="2309" width="32.00390625" style="0" customWidth="1"/>
    <col min="2561" max="2561" width="5.00390625" style="0" customWidth="1"/>
    <col min="2562" max="2562" width="27.125" style="0" customWidth="1"/>
    <col min="2564" max="2564" width="13.875" style="0" customWidth="1"/>
    <col min="2565" max="2565" width="32.00390625" style="0" customWidth="1"/>
    <col min="2817" max="2817" width="5.00390625" style="0" customWidth="1"/>
    <col min="2818" max="2818" width="27.125" style="0" customWidth="1"/>
    <col min="2820" max="2820" width="13.875" style="0" customWidth="1"/>
    <col min="2821" max="2821" width="32.00390625" style="0" customWidth="1"/>
    <col min="3073" max="3073" width="5.00390625" style="0" customWidth="1"/>
    <col min="3074" max="3074" width="27.125" style="0" customWidth="1"/>
    <col min="3076" max="3076" width="13.875" style="0" customWidth="1"/>
    <col min="3077" max="3077" width="32.00390625" style="0" customWidth="1"/>
    <col min="3329" max="3329" width="5.00390625" style="0" customWidth="1"/>
    <col min="3330" max="3330" width="27.125" style="0" customWidth="1"/>
    <col min="3332" max="3332" width="13.875" style="0" customWidth="1"/>
    <col min="3333" max="3333" width="32.00390625" style="0" customWidth="1"/>
    <col min="3585" max="3585" width="5.00390625" style="0" customWidth="1"/>
    <col min="3586" max="3586" width="27.125" style="0" customWidth="1"/>
    <col min="3588" max="3588" width="13.875" style="0" customWidth="1"/>
    <col min="3589" max="3589" width="32.00390625" style="0" customWidth="1"/>
    <col min="3841" max="3841" width="5.00390625" style="0" customWidth="1"/>
    <col min="3842" max="3842" width="27.125" style="0" customWidth="1"/>
    <col min="3844" max="3844" width="13.875" style="0" customWidth="1"/>
    <col min="3845" max="3845" width="32.00390625" style="0" customWidth="1"/>
    <col min="4097" max="4097" width="5.00390625" style="0" customWidth="1"/>
    <col min="4098" max="4098" width="27.125" style="0" customWidth="1"/>
    <col min="4100" max="4100" width="13.875" style="0" customWidth="1"/>
    <col min="4101" max="4101" width="32.00390625" style="0" customWidth="1"/>
    <col min="4353" max="4353" width="5.00390625" style="0" customWidth="1"/>
    <col min="4354" max="4354" width="27.125" style="0" customWidth="1"/>
    <col min="4356" max="4356" width="13.875" style="0" customWidth="1"/>
    <col min="4357" max="4357" width="32.00390625" style="0" customWidth="1"/>
    <col min="4609" max="4609" width="5.00390625" style="0" customWidth="1"/>
    <col min="4610" max="4610" width="27.125" style="0" customWidth="1"/>
    <col min="4612" max="4612" width="13.875" style="0" customWidth="1"/>
    <col min="4613" max="4613" width="32.00390625" style="0" customWidth="1"/>
    <col min="4865" max="4865" width="5.00390625" style="0" customWidth="1"/>
    <col min="4866" max="4866" width="27.125" style="0" customWidth="1"/>
    <col min="4868" max="4868" width="13.875" style="0" customWidth="1"/>
    <col min="4869" max="4869" width="32.00390625" style="0" customWidth="1"/>
    <col min="5121" max="5121" width="5.00390625" style="0" customWidth="1"/>
    <col min="5122" max="5122" width="27.125" style="0" customWidth="1"/>
    <col min="5124" max="5124" width="13.875" style="0" customWidth="1"/>
    <col min="5125" max="5125" width="32.00390625" style="0" customWidth="1"/>
    <col min="5377" max="5377" width="5.00390625" style="0" customWidth="1"/>
    <col min="5378" max="5378" width="27.125" style="0" customWidth="1"/>
    <col min="5380" max="5380" width="13.875" style="0" customWidth="1"/>
    <col min="5381" max="5381" width="32.00390625" style="0" customWidth="1"/>
    <col min="5633" max="5633" width="5.00390625" style="0" customWidth="1"/>
    <col min="5634" max="5634" width="27.125" style="0" customWidth="1"/>
    <col min="5636" max="5636" width="13.875" style="0" customWidth="1"/>
    <col min="5637" max="5637" width="32.00390625" style="0" customWidth="1"/>
    <col min="5889" max="5889" width="5.00390625" style="0" customWidth="1"/>
    <col min="5890" max="5890" width="27.125" style="0" customWidth="1"/>
    <col min="5892" max="5892" width="13.875" style="0" customWidth="1"/>
    <col min="5893" max="5893" width="32.00390625" style="0" customWidth="1"/>
    <col min="6145" max="6145" width="5.00390625" style="0" customWidth="1"/>
    <col min="6146" max="6146" width="27.125" style="0" customWidth="1"/>
    <col min="6148" max="6148" width="13.875" style="0" customWidth="1"/>
    <col min="6149" max="6149" width="32.00390625" style="0" customWidth="1"/>
    <col min="6401" max="6401" width="5.00390625" style="0" customWidth="1"/>
    <col min="6402" max="6402" width="27.125" style="0" customWidth="1"/>
    <col min="6404" max="6404" width="13.875" style="0" customWidth="1"/>
    <col min="6405" max="6405" width="32.00390625" style="0" customWidth="1"/>
    <col min="6657" max="6657" width="5.00390625" style="0" customWidth="1"/>
    <col min="6658" max="6658" width="27.125" style="0" customWidth="1"/>
    <col min="6660" max="6660" width="13.875" style="0" customWidth="1"/>
    <col min="6661" max="6661" width="32.00390625" style="0" customWidth="1"/>
    <col min="6913" max="6913" width="5.00390625" style="0" customWidth="1"/>
    <col min="6914" max="6914" width="27.125" style="0" customWidth="1"/>
    <col min="6916" max="6916" width="13.875" style="0" customWidth="1"/>
    <col min="6917" max="6917" width="32.00390625" style="0" customWidth="1"/>
    <col min="7169" max="7169" width="5.00390625" style="0" customWidth="1"/>
    <col min="7170" max="7170" width="27.125" style="0" customWidth="1"/>
    <col min="7172" max="7172" width="13.875" style="0" customWidth="1"/>
    <col min="7173" max="7173" width="32.00390625" style="0" customWidth="1"/>
    <col min="7425" max="7425" width="5.00390625" style="0" customWidth="1"/>
    <col min="7426" max="7426" width="27.125" style="0" customWidth="1"/>
    <col min="7428" max="7428" width="13.875" style="0" customWidth="1"/>
    <col min="7429" max="7429" width="32.00390625" style="0" customWidth="1"/>
    <col min="7681" max="7681" width="5.00390625" style="0" customWidth="1"/>
    <col min="7682" max="7682" width="27.125" style="0" customWidth="1"/>
    <col min="7684" max="7684" width="13.875" style="0" customWidth="1"/>
    <col min="7685" max="7685" width="32.00390625" style="0" customWidth="1"/>
    <col min="7937" max="7937" width="5.00390625" style="0" customWidth="1"/>
    <col min="7938" max="7938" width="27.125" style="0" customWidth="1"/>
    <col min="7940" max="7940" width="13.875" style="0" customWidth="1"/>
    <col min="7941" max="7941" width="32.00390625" style="0" customWidth="1"/>
    <col min="8193" max="8193" width="5.00390625" style="0" customWidth="1"/>
    <col min="8194" max="8194" width="27.125" style="0" customWidth="1"/>
    <col min="8196" max="8196" width="13.875" style="0" customWidth="1"/>
    <col min="8197" max="8197" width="32.00390625" style="0" customWidth="1"/>
    <col min="8449" max="8449" width="5.00390625" style="0" customWidth="1"/>
    <col min="8450" max="8450" width="27.125" style="0" customWidth="1"/>
    <col min="8452" max="8452" width="13.875" style="0" customWidth="1"/>
    <col min="8453" max="8453" width="32.00390625" style="0" customWidth="1"/>
    <col min="8705" max="8705" width="5.00390625" style="0" customWidth="1"/>
    <col min="8706" max="8706" width="27.125" style="0" customWidth="1"/>
    <col min="8708" max="8708" width="13.875" style="0" customWidth="1"/>
    <col min="8709" max="8709" width="32.00390625" style="0" customWidth="1"/>
    <col min="8961" max="8961" width="5.00390625" style="0" customWidth="1"/>
    <col min="8962" max="8962" width="27.125" style="0" customWidth="1"/>
    <col min="8964" max="8964" width="13.875" style="0" customWidth="1"/>
    <col min="8965" max="8965" width="32.00390625" style="0" customWidth="1"/>
    <col min="9217" max="9217" width="5.00390625" style="0" customWidth="1"/>
    <col min="9218" max="9218" width="27.125" style="0" customWidth="1"/>
    <col min="9220" max="9220" width="13.875" style="0" customWidth="1"/>
    <col min="9221" max="9221" width="32.00390625" style="0" customWidth="1"/>
    <col min="9473" max="9473" width="5.00390625" style="0" customWidth="1"/>
    <col min="9474" max="9474" width="27.125" style="0" customWidth="1"/>
    <col min="9476" max="9476" width="13.875" style="0" customWidth="1"/>
    <col min="9477" max="9477" width="32.00390625" style="0" customWidth="1"/>
    <col min="9729" max="9729" width="5.00390625" style="0" customWidth="1"/>
    <col min="9730" max="9730" width="27.125" style="0" customWidth="1"/>
    <col min="9732" max="9732" width="13.875" style="0" customWidth="1"/>
    <col min="9733" max="9733" width="32.00390625" style="0" customWidth="1"/>
    <col min="9985" max="9985" width="5.00390625" style="0" customWidth="1"/>
    <col min="9986" max="9986" width="27.125" style="0" customWidth="1"/>
    <col min="9988" max="9988" width="13.875" style="0" customWidth="1"/>
    <col min="9989" max="9989" width="32.00390625" style="0" customWidth="1"/>
    <col min="10241" max="10241" width="5.00390625" style="0" customWidth="1"/>
    <col min="10242" max="10242" width="27.125" style="0" customWidth="1"/>
    <col min="10244" max="10244" width="13.875" style="0" customWidth="1"/>
    <col min="10245" max="10245" width="32.00390625" style="0" customWidth="1"/>
    <col min="10497" max="10497" width="5.00390625" style="0" customWidth="1"/>
    <col min="10498" max="10498" width="27.125" style="0" customWidth="1"/>
    <col min="10500" max="10500" width="13.875" style="0" customWidth="1"/>
    <col min="10501" max="10501" width="32.00390625" style="0" customWidth="1"/>
    <col min="10753" max="10753" width="5.00390625" style="0" customWidth="1"/>
    <col min="10754" max="10754" width="27.125" style="0" customWidth="1"/>
    <col min="10756" max="10756" width="13.875" style="0" customWidth="1"/>
    <col min="10757" max="10757" width="32.00390625" style="0" customWidth="1"/>
    <col min="11009" max="11009" width="5.00390625" style="0" customWidth="1"/>
    <col min="11010" max="11010" width="27.125" style="0" customWidth="1"/>
    <col min="11012" max="11012" width="13.875" style="0" customWidth="1"/>
    <col min="11013" max="11013" width="32.00390625" style="0" customWidth="1"/>
    <col min="11265" max="11265" width="5.00390625" style="0" customWidth="1"/>
    <col min="11266" max="11266" width="27.125" style="0" customWidth="1"/>
    <col min="11268" max="11268" width="13.875" style="0" customWidth="1"/>
    <col min="11269" max="11269" width="32.00390625" style="0" customWidth="1"/>
    <col min="11521" max="11521" width="5.00390625" style="0" customWidth="1"/>
    <col min="11522" max="11522" width="27.125" style="0" customWidth="1"/>
    <col min="11524" max="11524" width="13.875" style="0" customWidth="1"/>
    <col min="11525" max="11525" width="32.00390625" style="0" customWidth="1"/>
    <col min="11777" max="11777" width="5.00390625" style="0" customWidth="1"/>
    <col min="11778" max="11778" width="27.125" style="0" customWidth="1"/>
    <col min="11780" max="11780" width="13.875" style="0" customWidth="1"/>
    <col min="11781" max="11781" width="32.00390625" style="0" customWidth="1"/>
    <col min="12033" max="12033" width="5.00390625" style="0" customWidth="1"/>
    <col min="12034" max="12034" width="27.125" style="0" customWidth="1"/>
    <col min="12036" max="12036" width="13.875" style="0" customWidth="1"/>
    <col min="12037" max="12037" width="32.00390625" style="0" customWidth="1"/>
    <col min="12289" max="12289" width="5.00390625" style="0" customWidth="1"/>
    <col min="12290" max="12290" width="27.125" style="0" customWidth="1"/>
    <col min="12292" max="12292" width="13.875" style="0" customWidth="1"/>
    <col min="12293" max="12293" width="32.00390625" style="0" customWidth="1"/>
    <col min="12545" max="12545" width="5.00390625" style="0" customWidth="1"/>
    <col min="12546" max="12546" width="27.125" style="0" customWidth="1"/>
    <col min="12548" max="12548" width="13.875" style="0" customWidth="1"/>
    <col min="12549" max="12549" width="32.00390625" style="0" customWidth="1"/>
    <col min="12801" max="12801" width="5.00390625" style="0" customWidth="1"/>
    <col min="12802" max="12802" width="27.125" style="0" customWidth="1"/>
    <col min="12804" max="12804" width="13.875" style="0" customWidth="1"/>
    <col min="12805" max="12805" width="32.00390625" style="0" customWidth="1"/>
    <col min="13057" max="13057" width="5.00390625" style="0" customWidth="1"/>
    <col min="13058" max="13058" width="27.125" style="0" customWidth="1"/>
    <col min="13060" max="13060" width="13.875" style="0" customWidth="1"/>
    <col min="13061" max="13061" width="32.00390625" style="0" customWidth="1"/>
    <col min="13313" max="13313" width="5.00390625" style="0" customWidth="1"/>
    <col min="13314" max="13314" width="27.125" style="0" customWidth="1"/>
    <col min="13316" max="13316" width="13.875" style="0" customWidth="1"/>
    <col min="13317" max="13317" width="32.00390625" style="0" customWidth="1"/>
    <col min="13569" max="13569" width="5.00390625" style="0" customWidth="1"/>
    <col min="13570" max="13570" width="27.125" style="0" customWidth="1"/>
    <col min="13572" max="13572" width="13.875" style="0" customWidth="1"/>
    <col min="13573" max="13573" width="32.00390625" style="0" customWidth="1"/>
    <col min="13825" max="13825" width="5.00390625" style="0" customWidth="1"/>
    <col min="13826" max="13826" width="27.125" style="0" customWidth="1"/>
    <col min="13828" max="13828" width="13.875" style="0" customWidth="1"/>
    <col min="13829" max="13829" width="32.00390625" style="0" customWidth="1"/>
    <col min="14081" max="14081" width="5.00390625" style="0" customWidth="1"/>
    <col min="14082" max="14082" width="27.125" style="0" customWidth="1"/>
    <col min="14084" max="14084" width="13.875" style="0" customWidth="1"/>
    <col min="14085" max="14085" width="32.00390625" style="0" customWidth="1"/>
    <col min="14337" max="14337" width="5.00390625" style="0" customWidth="1"/>
    <col min="14338" max="14338" width="27.125" style="0" customWidth="1"/>
    <col min="14340" max="14340" width="13.875" style="0" customWidth="1"/>
    <col min="14341" max="14341" width="32.00390625" style="0" customWidth="1"/>
    <col min="14593" max="14593" width="5.00390625" style="0" customWidth="1"/>
    <col min="14594" max="14594" width="27.125" style="0" customWidth="1"/>
    <col min="14596" max="14596" width="13.875" style="0" customWidth="1"/>
    <col min="14597" max="14597" width="32.00390625" style="0" customWidth="1"/>
    <col min="14849" max="14849" width="5.00390625" style="0" customWidth="1"/>
    <col min="14850" max="14850" width="27.125" style="0" customWidth="1"/>
    <col min="14852" max="14852" width="13.875" style="0" customWidth="1"/>
    <col min="14853" max="14853" width="32.00390625" style="0" customWidth="1"/>
    <col min="15105" max="15105" width="5.00390625" style="0" customWidth="1"/>
    <col min="15106" max="15106" width="27.125" style="0" customWidth="1"/>
    <col min="15108" max="15108" width="13.875" style="0" customWidth="1"/>
    <col min="15109" max="15109" width="32.00390625" style="0" customWidth="1"/>
    <col min="15361" max="15361" width="5.00390625" style="0" customWidth="1"/>
    <col min="15362" max="15362" width="27.125" style="0" customWidth="1"/>
    <col min="15364" max="15364" width="13.875" style="0" customWidth="1"/>
    <col min="15365" max="15365" width="32.00390625" style="0" customWidth="1"/>
    <col min="15617" max="15617" width="5.00390625" style="0" customWidth="1"/>
    <col min="15618" max="15618" width="27.125" style="0" customWidth="1"/>
    <col min="15620" max="15620" width="13.875" style="0" customWidth="1"/>
    <col min="15621" max="15621" width="32.00390625" style="0" customWidth="1"/>
    <col min="15873" max="15873" width="5.00390625" style="0" customWidth="1"/>
    <col min="15874" max="15874" width="27.125" style="0" customWidth="1"/>
    <col min="15876" max="15876" width="13.875" style="0" customWidth="1"/>
    <col min="15877" max="15877" width="32.00390625" style="0" customWidth="1"/>
    <col min="16129" max="16129" width="5.00390625" style="0" customWidth="1"/>
    <col min="16130" max="16130" width="27.125" style="0" customWidth="1"/>
    <col min="16132" max="16132" width="13.875" style="0" customWidth="1"/>
    <col min="16133" max="16133" width="32.00390625" style="0" customWidth="1"/>
  </cols>
  <sheetData>
    <row r="1" spans="1:5" ht="17.1" customHeight="1">
      <c r="A1" s="29"/>
      <c r="B1" s="29"/>
      <c r="C1" s="29"/>
      <c r="D1" s="29"/>
      <c r="E1" s="235" t="s">
        <v>0</v>
      </c>
    </row>
    <row r="2" spans="1:5" ht="17.1" customHeight="1">
      <c r="A2" s="29"/>
      <c r="B2" s="29"/>
      <c r="C2" s="29"/>
      <c r="D2" s="29"/>
      <c r="E2" s="235" t="s">
        <v>1</v>
      </c>
    </row>
    <row r="3" spans="1:5" ht="17.1" customHeight="1">
      <c r="A3" s="29"/>
      <c r="B3" s="29"/>
      <c r="C3" s="29"/>
      <c r="D3" s="29"/>
      <c r="E3" s="235" t="s">
        <v>2</v>
      </c>
    </row>
    <row r="4" spans="1:5" ht="17.1" customHeight="1">
      <c r="A4" s="29"/>
      <c r="B4" s="29"/>
      <c r="C4" s="29"/>
      <c r="D4" s="29"/>
      <c r="E4" s="235" t="s">
        <v>3</v>
      </c>
    </row>
    <row r="5" spans="1:5" ht="17.1" customHeight="1">
      <c r="A5" s="29"/>
      <c r="B5" s="29"/>
      <c r="C5" s="29"/>
      <c r="D5" s="29"/>
      <c r="E5" s="843"/>
    </row>
    <row r="6" spans="1:5" ht="17.1" customHeight="1">
      <c r="A6" s="29"/>
      <c r="B6" s="29"/>
      <c r="C6" s="29"/>
      <c r="D6" s="29"/>
      <c r="E6" s="843"/>
    </row>
    <row r="7" spans="1:5" ht="42.75" customHeight="1" thickBot="1">
      <c r="A7" s="2003" t="s">
        <v>295</v>
      </c>
      <c r="B7" s="2003"/>
      <c r="C7" s="2003"/>
      <c r="D7" s="2003"/>
      <c r="E7" s="2003"/>
    </row>
    <row r="8" spans="1:5" ht="18" customHeight="1">
      <c r="A8" s="2004" t="s">
        <v>5</v>
      </c>
      <c r="B8" s="1893" t="s">
        <v>6</v>
      </c>
      <c r="C8" s="2008" t="s">
        <v>224</v>
      </c>
      <c r="D8" s="237" t="s">
        <v>225</v>
      </c>
      <c r="E8" s="2011" t="s">
        <v>49</v>
      </c>
    </row>
    <row r="9" spans="1:5" ht="15.75">
      <c r="A9" s="2005"/>
      <c r="B9" s="2007"/>
      <c r="C9" s="2009"/>
      <c r="D9" s="313" t="s">
        <v>8</v>
      </c>
      <c r="E9" s="2012"/>
    </row>
    <row r="10" spans="1:5" ht="16.5" thickBot="1">
      <c r="A10" s="2006"/>
      <c r="B10" s="1894"/>
      <c r="C10" s="2010"/>
      <c r="D10" s="238" t="s">
        <v>23</v>
      </c>
      <c r="E10" s="2013"/>
    </row>
    <row r="11" spans="1:5" ht="45" customHeight="1" thickBot="1">
      <c r="A11" s="314">
        <f>A10+1</f>
        <v>1</v>
      </c>
      <c r="B11" s="315" t="s">
        <v>32</v>
      </c>
      <c r="C11" s="316">
        <v>9.7</v>
      </c>
      <c r="D11" s="317">
        <f>C11*0.978</f>
        <v>9.4866</v>
      </c>
      <c r="E11" s="801" t="s">
        <v>676</v>
      </c>
    </row>
    <row r="12" spans="1:5" ht="42.75" customHeight="1">
      <c r="A12" s="318">
        <f>A11+1</f>
        <v>2</v>
      </c>
      <c r="B12" s="319" t="s">
        <v>269</v>
      </c>
      <c r="C12" s="320">
        <v>9.7</v>
      </c>
      <c r="D12" s="321">
        <f>C12*0.978</f>
        <v>9.4866</v>
      </c>
      <c r="E12" s="801" t="s">
        <v>676</v>
      </c>
    </row>
    <row r="13" spans="1:5" ht="41.25" customHeight="1" hidden="1">
      <c r="A13" s="318">
        <f>A12+1</f>
        <v>3</v>
      </c>
      <c r="B13" s="319"/>
      <c r="C13" s="320"/>
      <c r="D13" s="321">
        <f>C13*0.978</f>
        <v>0</v>
      </c>
      <c r="E13" s="322"/>
    </row>
    <row r="14" spans="1:5" ht="40.5" customHeight="1" hidden="1" thickBot="1">
      <c r="A14" s="323">
        <f>A13+1</f>
        <v>4</v>
      </c>
      <c r="B14" s="324"/>
      <c r="C14" s="325"/>
      <c r="D14" s="326">
        <f>C14*0.978</f>
        <v>0</v>
      </c>
      <c r="E14" s="327"/>
    </row>
    <row r="15" spans="1:5" ht="32.25" customHeight="1" thickBot="1">
      <c r="A15" s="328"/>
      <c r="B15" s="329" t="s">
        <v>8</v>
      </c>
      <c r="C15" s="330">
        <f>SUM(C11:C14)</f>
        <v>19.4</v>
      </c>
      <c r="D15" s="331">
        <f>SUM(D11:D14)</f>
        <v>18.9732</v>
      </c>
      <c r="E15" s="332"/>
    </row>
    <row r="16" spans="1:5" ht="44.25" customHeight="1">
      <c r="A16" s="333"/>
      <c r="B16" s="334"/>
      <c r="C16" s="335"/>
      <c r="D16" s="336"/>
      <c r="E16" s="337"/>
    </row>
    <row r="17" spans="1:5" ht="15.75">
      <c r="A17" s="29"/>
      <c r="B17" s="29"/>
      <c r="C17" s="29"/>
      <c r="D17" s="29"/>
      <c r="E17" s="235"/>
    </row>
    <row r="18" spans="1:5" ht="15.75">
      <c r="A18" s="29"/>
      <c r="B18" s="29" t="s">
        <v>95</v>
      </c>
      <c r="C18" s="29"/>
      <c r="D18" s="29"/>
      <c r="E18" s="235" t="s">
        <v>143</v>
      </c>
    </row>
    <row r="19" spans="1:5" ht="15.75">
      <c r="A19" s="29"/>
      <c r="B19" s="29"/>
      <c r="C19" s="29"/>
      <c r="D19" s="29"/>
      <c r="E19" s="235"/>
    </row>
    <row r="20" spans="1:5" ht="15.75">
      <c r="A20" s="29"/>
      <c r="B20" s="29"/>
      <c r="C20" s="29"/>
      <c r="D20" s="29"/>
      <c r="E20" s="235"/>
    </row>
    <row r="21" spans="1:5" ht="15.75">
      <c r="A21" s="29"/>
      <c r="B21" s="29"/>
      <c r="C21" s="29"/>
      <c r="D21" s="29"/>
      <c r="E21" s="235"/>
    </row>
    <row r="22" spans="1:5" ht="15.75">
      <c r="A22" s="29"/>
      <c r="B22" s="29"/>
      <c r="C22" s="29"/>
      <c r="D22" s="29"/>
      <c r="E22" s="235"/>
    </row>
    <row r="23" spans="1:5" ht="15.75">
      <c r="A23" s="29"/>
      <c r="B23" s="29"/>
      <c r="C23" s="29"/>
      <c r="D23" s="29"/>
      <c r="E23" s="235"/>
    </row>
    <row r="24" spans="1:5" ht="15.75">
      <c r="A24" s="29"/>
      <c r="B24" s="29"/>
      <c r="C24" s="29"/>
      <c r="D24" s="29"/>
      <c r="E24" s="235"/>
    </row>
  </sheetData>
  <mergeCells count="5">
    <mergeCell ref="A7:E7"/>
    <mergeCell ref="A8:A10"/>
    <mergeCell ref="B8:B10"/>
    <mergeCell ref="C8:C10"/>
    <mergeCell ref="E8:E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novikovaon</dc:creator>
  <cp:keywords/>
  <dc:description/>
  <cp:lastModifiedBy>novikovaon</cp:lastModifiedBy>
  <cp:lastPrinted>2018-04-06T06:41:49Z</cp:lastPrinted>
  <dcterms:created xsi:type="dcterms:W3CDTF">2017-01-11T13:09:09Z</dcterms:created>
  <dcterms:modified xsi:type="dcterms:W3CDTF">2018-04-16T12:31:17Z</dcterms:modified>
  <cp:category/>
  <cp:version/>
  <cp:contentType/>
  <cp:contentStatus/>
</cp:coreProperties>
</file>