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65" yWindow="510" windowWidth="13590" windowHeight="11790"/>
  </bookViews>
  <sheets>
    <sheet name="кровли-14" sheetId="1" r:id="rId1"/>
    <sheet name="вод-трубы-14" sheetId="2" r:id="rId2"/>
    <sheet name="Строп.сист." sheetId="3" r:id="rId3"/>
    <sheet name="Изоляц. (2)" sheetId="4" r:id="rId4"/>
    <sheet name="Метел. двери-решетки-14" sheetId="5" r:id="rId5"/>
    <sheet name="окна- 14" sheetId="6" r:id="rId6"/>
    <sheet name="л.клетки -14 " sheetId="7" r:id="rId7"/>
    <sheet name="стыки-14" sheetId="8" r:id="rId8"/>
  </sheets>
  <definedNames>
    <definedName name="_xlnm._FilterDatabase" localSheetId="3" hidden="1">'Изоляц. (2)'!$B$5:$F$104</definedName>
    <definedName name="_xlnm._FilterDatabase" localSheetId="0" hidden="1">'кровли-14'!$B$9:$N$63</definedName>
    <definedName name="_xlnm._FilterDatabase" localSheetId="6" hidden="1">'л.клетки -14 '!$B$7:$Z$51</definedName>
    <definedName name="_xlnm._FilterDatabase" localSheetId="4" hidden="1">'Метел. двери-решетки-14'!$A$6:$R$17</definedName>
    <definedName name="_xlnm._FilterDatabase" localSheetId="5" hidden="1">'окна- 14'!$B$12:$S$130</definedName>
    <definedName name="_xlnm._FilterDatabase" localSheetId="7" hidden="1">'стыки-14'!$B$9:$R$87</definedName>
    <definedName name="_xlnm.Print_Area" localSheetId="3">'Изоляц. (2)'!$B$110:$F$183</definedName>
    <definedName name="_xlnm.Print_Area" localSheetId="7">'стыки-14'!$B$4:$R$88</definedName>
  </definedNames>
  <calcPr calcId="145621"/>
</workbook>
</file>

<file path=xl/calcChain.xml><?xml version="1.0" encoding="utf-8"?>
<calcChain xmlns="http://schemas.openxmlformats.org/spreadsheetml/2006/main">
  <c r="O99" i="8" l="1"/>
  <c r="N99" i="8"/>
  <c r="N88" i="8"/>
  <c r="O88" i="8"/>
  <c r="O89" i="8" s="1"/>
  <c r="O90" i="8" s="1"/>
  <c r="O91" i="8" s="1"/>
  <c r="O92" i="8" s="1"/>
  <c r="O93" i="8" s="1"/>
  <c r="O94" i="8" s="1"/>
  <c r="O95" i="8" s="1"/>
  <c r="O96" i="8" s="1"/>
  <c r="O97" i="8" s="1"/>
  <c r="O98" i="8" s="1"/>
  <c r="N89" i="8"/>
  <c r="N90" i="8" s="1"/>
  <c r="N91" i="8" s="1"/>
  <c r="N92" i="8" s="1"/>
  <c r="N93" i="8" s="1"/>
  <c r="N94" i="8" s="1"/>
  <c r="N95" i="8" s="1"/>
  <c r="N96" i="8" s="1"/>
  <c r="N97" i="8" s="1"/>
  <c r="N98" i="8" s="1"/>
  <c r="O87" i="8"/>
  <c r="N87" i="8"/>
  <c r="B138" i="6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37" i="6"/>
  <c r="B15" i="6"/>
  <c r="B16" i="6"/>
  <c r="B17" i="6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E130" i="6"/>
  <c r="G130" i="6"/>
  <c r="I130" i="6"/>
  <c r="J130" i="6"/>
  <c r="K130" i="6"/>
  <c r="L130" i="6"/>
  <c r="M130" i="6"/>
  <c r="O130" i="6"/>
  <c r="P130" i="6"/>
  <c r="Q130" i="6"/>
  <c r="R130" i="6"/>
  <c r="S130" i="6"/>
  <c r="P37" i="5"/>
  <c r="O37" i="5"/>
  <c r="R36" i="5"/>
  <c r="Q36" i="5"/>
  <c r="P36" i="5"/>
  <c r="O36" i="5"/>
  <c r="A25" i="5"/>
  <c r="A26" i="5" s="1"/>
  <c r="A27" i="5" s="1"/>
  <c r="A28" i="5" s="1"/>
  <c r="A29" i="5" s="1"/>
  <c r="A30" i="5" s="1"/>
  <c r="A31" i="5" s="1"/>
  <c r="A32" i="5" s="1"/>
  <c r="A33" i="5" s="1"/>
  <c r="A34" i="5" s="1"/>
  <c r="A9" i="5"/>
  <c r="A10" i="5" s="1"/>
  <c r="A11" i="5" s="1"/>
  <c r="A12" i="5" s="1"/>
  <c r="A13" i="5" s="1"/>
  <c r="A14" i="5" s="1"/>
  <c r="A15" i="5" s="1"/>
  <c r="A16" i="5" s="1"/>
  <c r="A8" i="5"/>
  <c r="A66" i="2"/>
  <c r="A67" i="2"/>
  <c r="A68" i="2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11" i="2"/>
  <c r="A12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10" i="2"/>
  <c r="O86" i="8"/>
  <c r="N86" i="8"/>
  <c r="Q76" i="8"/>
  <c r="P76" i="8"/>
  <c r="O76" i="8"/>
  <c r="N76" i="8"/>
  <c r="G76" i="8"/>
  <c r="E76" i="8"/>
  <c r="F76" i="8" s="1"/>
  <c r="J75" i="8"/>
  <c r="I74" i="8"/>
  <c r="J74" i="8" s="1"/>
  <c r="I73" i="8"/>
  <c r="J73" i="8" s="1"/>
  <c r="I72" i="8"/>
  <c r="J72" i="8" s="1"/>
  <c r="I71" i="8"/>
  <c r="J71" i="8" s="1"/>
  <c r="I67" i="8"/>
  <c r="J67" i="8" s="1"/>
  <c r="I66" i="8"/>
  <c r="J66" i="8" s="1"/>
  <c r="I65" i="8"/>
  <c r="J65" i="8" s="1"/>
  <c r="I64" i="8"/>
  <c r="J64" i="8" s="1"/>
  <c r="I63" i="8"/>
  <c r="J63" i="8" s="1"/>
  <c r="I62" i="8"/>
  <c r="J62" i="8" s="1"/>
  <c r="I61" i="8"/>
  <c r="J61" i="8" s="1"/>
  <c r="I60" i="8"/>
  <c r="J60" i="8" s="1"/>
  <c r="I59" i="8"/>
  <c r="J59" i="8" s="1"/>
  <c r="I58" i="8"/>
  <c r="J58" i="8" s="1"/>
  <c r="I55" i="8"/>
  <c r="J55" i="8" s="1"/>
  <c r="I54" i="8"/>
  <c r="J54" i="8" s="1"/>
  <c r="I52" i="8"/>
  <c r="J52" i="8" s="1"/>
  <c r="I50" i="8"/>
  <c r="J50" i="8" s="1"/>
  <c r="I47" i="8"/>
  <c r="J47" i="8" s="1"/>
  <c r="I46" i="8"/>
  <c r="J46" i="8" s="1"/>
  <c r="I45" i="8"/>
  <c r="J45" i="8" s="1"/>
  <c r="I43" i="8"/>
  <c r="J43" i="8" s="1"/>
  <c r="I38" i="8"/>
  <c r="J38" i="8" s="1"/>
  <c r="I37" i="8"/>
  <c r="J37" i="8" s="1"/>
  <c r="I33" i="8"/>
  <c r="J33" i="8" s="1"/>
  <c r="I30" i="8"/>
  <c r="J30" i="8" s="1"/>
  <c r="I28" i="8"/>
  <c r="J28" i="8" s="1"/>
  <c r="I27" i="8"/>
  <c r="J27" i="8" s="1"/>
  <c r="I24" i="8"/>
  <c r="J24" i="8" s="1"/>
  <c r="I23" i="8"/>
  <c r="J23" i="8" s="1"/>
  <c r="I22" i="8"/>
  <c r="J22" i="8" s="1"/>
  <c r="I21" i="8"/>
  <c r="J21" i="8" s="1"/>
  <c r="I20" i="8"/>
  <c r="J20" i="8" s="1"/>
  <c r="B20" i="8"/>
  <c r="I18" i="8"/>
  <c r="J18" i="8" s="1"/>
  <c r="F18" i="8"/>
  <c r="I13" i="8"/>
  <c r="J13" i="8" s="1"/>
  <c r="I12" i="8"/>
  <c r="J12" i="8" s="1"/>
  <c r="I10" i="8"/>
  <c r="J10" i="8" s="1"/>
  <c r="B10" i="8"/>
  <c r="F356" i="7"/>
  <c r="Z49" i="7"/>
  <c r="Y49" i="7"/>
  <c r="X49" i="7"/>
  <c r="T49" i="7"/>
  <c r="S49" i="7"/>
  <c r="Q49" i="7"/>
  <c r="P49" i="7"/>
  <c r="N49" i="7"/>
  <c r="M49" i="7"/>
  <c r="K49" i="7"/>
  <c r="J49" i="7"/>
  <c r="I49" i="7"/>
  <c r="H49" i="7"/>
  <c r="F49" i="7"/>
  <c r="E49" i="7"/>
  <c r="O48" i="7"/>
  <c r="G48" i="7"/>
  <c r="O47" i="7"/>
  <c r="G47" i="7"/>
  <c r="W46" i="7"/>
  <c r="V46" i="7"/>
  <c r="O46" i="7"/>
  <c r="G46" i="7"/>
  <c r="O45" i="7"/>
  <c r="G45" i="7"/>
  <c r="R44" i="7"/>
  <c r="G44" i="7"/>
  <c r="R43" i="7"/>
  <c r="G43" i="7"/>
  <c r="O42" i="7"/>
  <c r="G42" i="7"/>
  <c r="R41" i="7"/>
  <c r="G41" i="7"/>
  <c r="O40" i="7"/>
  <c r="G40" i="7"/>
  <c r="O39" i="7"/>
  <c r="G39" i="7"/>
  <c r="W38" i="7"/>
  <c r="V38" i="7"/>
  <c r="L38" i="7"/>
  <c r="G38" i="7"/>
  <c r="U37" i="7"/>
  <c r="G37" i="7"/>
  <c r="U36" i="7"/>
  <c r="G36" i="7"/>
  <c r="U35" i="7"/>
  <c r="G35" i="7"/>
  <c r="R34" i="7"/>
  <c r="G34" i="7"/>
  <c r="U33" i="7"/>
  <c r="G33" i="7"/>
  <c r="U32" i="7"/>
  <c r="G32" i="7"/>
  <c r="U31" i="7"/>
  <c r="G31" i="7"/>
  <c r="R30" i="7"/>
  <c r="G30" i="7"/>
  <c r="R29" i="7"/>
  <c r="G29" i="7"/>
  <c r="R28" i="7"/>
  <c r="G28" i="7"/>
  <c r="R27" i="7"/>
  <c r="G27" i="7"/>
  <c r="R26" i="7"/>
  <c r="G26" i="7"/>
  <c r="W25" i="7"/>
  <c r="V25" i="7"/>
  <c r="L25" i="7"/>
  <c r="G25" i="7"/>
  <c r="W24" i="7"/>
  <c r="V24" i="7"/>
  <c r="U24" i="7"/>
  <c r="G24" i="7"/>
  <c r="U23" i="7"/>
  <c r="G23" i="7"/>
  <c r="U22" i="7"/>
  <c r="G22" i="7"/>
  <c r="V21" i="7"/>
  <c r="L21" i="7"/>
  <c r="G21" i="7"/>
  <c r="R20" i="7"/>
  <c r="G20" i="7"/>
  <c r="R19" i="7"/>
  <c r="G19" i="7"/>
  <c r="R18" i="7"/>
  <c r="G18" i="7"/>
  <c r="R17" i="7"/>
  <c r="G17" i="7"/>
  <c r="R16" i="7"/>
  <c r="G16" i="7"/>
  <c r="L15" i="7"/>
  <c r="G15" i="7"/>
  <c r="L14" i="7"/>
  <c r="G14" i="7"/>
  <c r="R13" i="7"/>
  <c r="G13" i="7"/>
  <c r="W12" i="7"/>
  <c r="V12" i="7"/>
  <c r="L12" i="7"/>
  <c r="G12" i="7"/>
  <c r="V11" i="7"/>
  <c r="L11" i="7"/>
  <c r="G11" i="7"/>
  <c r="W10" i="7"/>
  <c r="V10" i="7"/>
  <c r="L10" i="7"/>
  <c r="G10" i="7"/>
  <c r="L9" i="7"/>
  <c r="G9" i="7"/>
  <c r="B9" i="7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R8" i="7"/>
  <c r="G8" i="7"/>
  <c r="I76" i="8" l="1"/>
  <c r="U49" i="7"/>
  <c r="G49" i="7"/>
  <c r="V49" i="7"/>
  <c r="R49" i="7"/>
  <c r="W49" i="7"/>
  <c r="O49" i="7"/>
  <c r="L49" i="7"/>
  <c r="J76" i="8"/>
  <c r="Y164" i="6" l="1"/>
  <c r="Z159" i="6"/>
  <c r="Z143" i="6"/>
  <c r="Z139" i="6"/>
  <c r="D129" i="6"/>
  <c r="Z128" i="6"/>
  <c r="D128" i="6"/>
  <c r="D127" i="6"/>
  <c r="D126" i="6"/>
  <c r="Z125" i="6"/>
  <c r="Y125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Z108" i="6"/>
  <c r="D108" i="6"/>
  <c r="D107" i="6"/>
  <c r="Z106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Z72" i="6"/>
  <c r="D72" i="6"/>
  <c r="D71" i="6"/>
  <c r="D70" i="6"/>
  <c r="D69" i="6"/>
  <c r="Z68" i="6"/>
  <c r="D68" i="6"/>
  <c r="Z67" i="6"/>
  <c r="D67" i="6"/>
  <c r="D66" i="6"/>
  <c r="Z65" i="6"/>
  <c r="D65" i="6"/>
  <c r="D64" i="6"/>
  <c r="D63" i="6"/>
  <c r="Z62" i="6"/>
  <c r="D62" i="6"/>
  <c r="Z61" i="6"/>
  <c r="D61" i="6"/>
  <c r="D60" i="6"/>
  <c r="D59" i="6"/>
  <c r="D58" i="6"/>
  <c r="D57" i="6"/>
  <c r="D56" i="6"/>
  <c r="Z55" i="6"/>
  <c r="D55" i="6"/>
  <c r="D54" i="6"/>
  <c r="Z53" i="6"/>
  <c r="D53" i="6"/>
  <c r="D52" i="6"/>
  <c r="D51" i="6"/>
  <c r="D50" i="6"/>
  <c r="Z49" i="6"/>
  <c r="D49" i="6"/>
  <c r="D48" i="6"/>
  <c r="Z47" i="6"/>
  <c r="D47" i="6"/>
  <c r="Z46" i="6"/>
  <c r="Y46" i="6"/>
  <c r="D46" i="6"/>
  <c r="D45" i="6"/>
  <c r="Z44" i="6"/>
  <c r="Y44" i="6"/>
  <c r="D44" i="6"/>
  <c r="D43" i="6"/>
  <c r="Z42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Z17" i="6"/>
  <c r="D17" i="6"/>
  <c r="D16" i="6"/>
  <c r="D15" i="6"/>
  <c r="D14" i="6"/>
  <c r="B14" i="6"/>
  <c r="D13" i="6"/>
  <c r="R35" i="5"/>
  <c r="Q35" i="5"/>
  <c r="P35" i="5"/>
  <c r="O35" i="5"/>
  <c r="A24" i="5"/>
  <c r="R17" i="5"/>
  <c r="Q17" i="5"/>
  <c r="P17" i="5"/>
  <c r="O17" i="5"/>
  <c r="H17" i="5"/>
  <c r="F17" i="5"/>
  <c r="C17" i="5"/>
  <c r="E17" i="5" s="1"/>
  <c r="D17" i="5"/>
  <c r="G17" i="5"/>
  <c r="I17" i="5"/>
  <c r="E182" i="4"/>
  <c r="D182" i="4"/>
  <c r="E113" i="4"/>
  <c r="E112" i="4"/>
  <c r="E100" i="4"/>
  <c r="E99" i="4"/>
  <c r="D98" i="4"/>
  <c r="E97" i="4"/>
  <c r="D97" i="4"/>
  <c r="E94" i="4"/>
  <c r="E91" i="4"/>
  <c r="E90" i="4"/>
  <c r="E89" i="4"/>
  <c r="E88" i="4"/>
  <c r="E87" i="4"/>
  <c r="E86" i="4"/>
  <c r="E85" i="4"/>
  <c r="E82" i="4"/>
  <c r="E81" i="4"/>
  <c r="E80" i="4"/>
  <c r="E79" i="4"/>
  <c r="E78" i="4"/>
  <c r="D76" i="4"/>
  <c r="D73" i="4"/>
  <c r="E71" i="4"/>
  <c r="E67" i="4"/>
  <c r="E66" i="4"/>
  <c r="E65" i="4"/>
  <c r="E64" i="4"/>
  <c r="E63" i="4"/>
  <c r="E62" i="4"/>
  <c r="E60" i="4"/>
  <c r="E59" i="4"/>
  <c r="E55" i="4"/>
  <c r="E52" i="4"/>
  <c r="E51" i="4"/>
  <c r="E50" i="4"/>
  <c r="E46" i="4"/>
  <c r="E45" i="4"/>
  <c r="E44" i="4"/>
  <c r="E43" i="4"/>
  <c r="D42" i="4"/>
  <c r="E42" i="4" s="1"/>
  <c r="E41" i="4"/>
  <c r="E39" i="4"/>
  <c r="E38" i="4"/>
  <c r="E30" i="4"/>
  <c r="E29" i="4"/>
  <c r="E28" i="4"/>
  <c r="E27" i="4"/>
  <c r="E24" i="4"/>
  <c r="E22" i="4"/>
  <c r="E20" i="4"/>
  <c r="E19" i="4"/>
  <c r="D19" i="4"/>
  <c r="E18" i="4"/>
  <c r="E17" i="4"/>
  <c r="E16" i="4"/>
  <c r="E15" i="4"/>
  <c r="E12" i="4"/>
  <c r="E10" i="4"/>
  <c r="D9" i="4"/>
  <c r="E8" i="4"/>
  <c r="E4" i="4" s="1"/>
  <c r="D6" i="4"/>
  <c r="E3" i="4" s="1"/>
  <c r="E4" i="3"/>
  <c r="E3" i="3"/>
  <c r="O78" i="2"/>
  <c r="O72" i="2"/>
  <c r="N72" i="2"/>
  <c r="O68" i="2"/>
  <c r="N68" i="2"/>
  <c r="A65" i="2"/>
  <c r="F57" i="2"/>
  <c r="F58" i="2" s="1"/>
  <c r="E57" i="2"/>
  <c r="E58" i="2" s="1"/>
  <c r="D57" i="2"/>
  <c r="C57" i="2"/>
  <c r="C58" i="2" s="1"/>
  <c r="G56" i="2"/>
  <c r="O55" i="2"/>
  <c r="N55" i="2"/>
  <c r="G55" i="2"/>
  <c r="G54" i="2"/>
  <c r="O53" i="2"/>
  <c r="N53" i="2"/>
  <c r="G53" i="2"/>
  <c r="O52" i="2"/>
  <c r="N52" i="2"/>
  <c r="G52" i="2"/>
  <c r="G51" i="2"/>
  <c r="G50" i="2"/>
  <c r="G49" i="2"/>
  <c r="G48" i="2"/>
  <c r="G47" i="2"/>
  <c r="O46" i="2"/>
  <c r="N46" i="2"/>
  <c r="G46" i="2"/>
  <c r="O45" i="2"/>
  <c r="N45" i="2"/>
  <c r="G45" i="2"/>
  <c r="G44" i="2"/>
  <c r="G43" i="2"/>
  <c r="G42" i="2"/>
  <c r="G41" i="2"/>
  <c r="G40" i="2"/>
  <c r="G39" i="2"/>
  <c r="G38" i="2"/>
  <c r="O37" i="2"/>
  <c r="N37" i="2"/>
  <c r="G37" i="2"/>
  <c r="G36" i="2"/>
  <c r="G35" i="2"/>
  <c r="G34" i="2"/>
  <c r="O33" i="2"/>
  <c r="N33" i="2"/>
  <c r="G33" i="2"/>
  <c r="G32" i="2"/>
  <c r="G31" i="2"/>
  <c r="G30" i="2"/>
  <c r="O29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O15" i="2"/>
  <c r="G15" i="2"/>
  <c r="G14" i="2"/>
  <c r="G13" i="2"/>
  <c r="G12" i="2"/>
  <c r="G11" i="2"/>
  <c r="O10" i="2"/>
  <c r="G10" i="2"/>
  <c r="O9" i="2"/>
  <c r="G9" i="2"/>
  <c r="Y130" i="6" l="1"/>
  <c r="Y165" i="6" s="1"/>
  <c r="Z130" i="6"/>
  <c r="Z164" i="6"/>
  <c r="N83" i="2"/>
  <c r="N57" i="2"/>
  <c r="G57" i="2"/>
  <c r="O83" i="2"/>
  <c r="D130" i="6"/>
  <c r="O57" i="2"/>
  <c r="D58" i="2"/>
  <c r="C59" i="2"/>
  <c r="N131" i="1"/>
  <c r="M112" i="1"/>
  <c r="M131" i="1" s="1"/>
  <c r="N107" i="1"/>
  <c r="M107" i="1"/>
  <c r="M97" i="1"/>
  <c r="M91" i="1"/>
  <c r="N88" i="1"/>
  <c r="M88" i="1"/>
  <c r="N86" i="1"/>
  <c r="N109" i="1" s="1"/>
  <c r="N132" i="1" s="1"/>
  <c r="M86" i="1"/>
  <c r="G62" i="1"/>
  <c r="D62" i="1"/>
  <c r="E61" i="1"/>
  <c r="F61" i="1" s="1"/>
  <c r="E60" i="1"/>
  <c r="F60" i="1" s="1"/>
  <c r="E59" i="1"/>
  <c r="F59" i="1" s="1"/>
  <c r="M58" i="1"/>
  <c r="E58" i="1"/>
  <c r="F58" i="1" s="1"/>
  <c r="M57" i="1"/>
  <c r="E57" i="1"/>
  <c r="F57" i="1" s="1"/>
  <c r="E56" i="1"/>
  <c r="F56" i="1" s="1"/>
  <c r="N55" i="1"/>
  <c r="M55" i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N47" i="1"/>
  <c r="M47" i="1"/>
  <c r="E47" i="1"/>
  <c r="F47" i="1" s="1"/>
  <c r="E46" i="1"/>
  <c r="F46" i="1" s="1"/>
  <c r="E45" i="1"/>
  <c r="F45" i="1" s="1"/>
  <c r="M44" i="1"/>
  <c r="E44" i="1"/>
  <c r="F44" i="1" s="1"/>
  <c r="E43" i="1"/>
  <c r="F43" i="1" s="1"/>
  <c r="N42" i="1"/>
  <c r="M42" i="1"/>
  <c r="E42" i="1"/>
  <c r="F42" i="1" s="1"/>
  <c r="E41" i="1"/>
  <c r="F41" i="1" s="1"/>
  <c r="A42" i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H39" i="1"/>
  <c r="G39" i="1"/>
  <c r="D39" i="1"/>
  <c r="E38" i="1"/>
  <c r="F38" i="1" s="1"/>
  <c r="E37" i="1"/>
  <c r="F37" i="1" s="1"/>
  <c r="E36" i="1"/>
  <c r="F36" i="1" s="1"/>
  <c r="E35" i="1"/>
  <c r="F35" i="1" s="1"/>
  <c r="N34" i="1"/>
  <c r="M34" i="1"/>
  <c r="E34" i="1"/>
  <c r="F34" i="1" s="1"/>
  <c r="E33" i="1"/>
  <c r="F33" i="1" s="1"/>
  <c r="E32" i="1"/>
  <c r="F32" i="1" s="1"/>
  <c r="N31" i="1"/>
  <c r="M31" i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N24" i="1"/>
  <c r="M24" i="1"/>
  <c r="E24" i="1"/>
  <c r="F24" i="1" s="1"/>
  <c r="E23" i="1"/>
  <c r="F23" i="1" s="1"/>
  <c r="E22" i="1"/>
  <c r="F22" i="1" s="1"/>
  <c r="E21" i="1"/>
  <c r="F21" i="1" s="1"/>
  <c r="N20" i="1"/>
  <c r="M20" i="1"/>
  <c r="F20" i="1"/>
  <c r="E20" i="1"/>
  <c r="N19" i="1"/>
  <c r="M19" i="1"/>
  <c r="E19" i="1"/>
  <c r="F19" i="1" s="1"/>
  <c r="E18" i="1"/>
  <c r="F18" i="1" s="1"/>
  <c r="E17" i="1"/>
  <c r="F17" i="1" s="1"/>
  <c r="E16" i="1"/>
  <c r="F16" i="1" s="1"/>
  <c r="E15" i="1"/>
  <c r="F15" i="1" s="1"/>
  <c r="N14" i="1"/>
  <c r="M14" i="1"/>
  <c r="E14" i="1"/>
  <c r="F14" i="1" s="1"/>
  <c r="N13" i="1"/>
  <c r="M13" i="1"/>
  <c r="E13" i="1"/>
  <c r="E12" i="1"/>
  <c r="F12" i="1" s="1"/>
  <c r="A12" i="1"/>
  <c r="A13" i="1" s="1"/>
  <c r="A14" i="1" s="1"/>
  <c r="A15" i="1" s="1"/>
  <c r="Z165" i="6" l="1"/>
  <c r="N84" i="2"/>
  <c r="O84" i="2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G63" i="1"/>
  <c r="M62" i="1"/>
  <c r="N62" i="1"/>
  <c r="E39" i="1"/>
  <c r="M39" i="1"/>
  <c r="M109" i="1"/>
  <c r="M132" i="1" s="1"/>
  <c r="F13" i="1"/>
  <c r="F39" i="1" s="1"/>
  <c r="N39" i="1"/>
  <c r="F62" i="1"/>
  <c r="E62" i="1"/>
  <c r="D63" i="1"/>
  <c r="M63" i="1" l="1"/>
  <c r="E63" i="1"/>
  <c r="F63" i="1"/>
  <c r="N63" i="1"/>
  <c r="N133" i="1" s="1"/>
  <c r="M133" i="1"/>
</calcChain>
</file>

<file path=xl/comments1.xml><?xml version="1.0" encoding="utf-8"?>
<comments xmlns="http://schemas.openxmlformats.org/spreadsheetml/2006/main">
  <authors>
    <author>maria.fedotova</author>
  </authors>
  <commentList>
    <comment ref="G10" authorId="0">
      <text>
        <r>
          <rPr>
            <b/>
            <sz val="8"/>
            <color indexed="81"/>
            <rFont val="Tahoma"/>
            <family val="2"/>
            <charset val="204"/>
          </rPr>
          <t>maria.fedotova: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<sst xmlns="http://schemas.openxmlformats.org/spreadsheetml/2006/main" count="1414" uniqueCount="584">
  <si>
    <t>"Утверждаю"</t>
  </si>
  <si>
    <t>Генеральный директор</t>
  </si>
  <si>
    <t>ООО "ЖКС г. Ломоносова"</t>
  </si>
  <si>
    <t>________________ И. Е. Соловьёв</t>
  </si>
  <si>
    <t xml:space="preserve">Адресная программа </t>
  </si>
  <si>
    <t>текущего ремонта кровель на 2014 год ООО "ЖКС г. Ломоносова"</t>
  </si>
  <si>
    <t>№
п/п</t>
  </si>
  <si>
    <t>Адрес</t>
  </si>
  <si>
    <t>кровля</t>
  </si>
  <si>
    <t>объем
м 2</t>
  </si>
  <si>
    <t>хоз.способ</t>
  </si>
  <si>
    <t>подр. способ</t>
  </si>
  <si>
    <t>Примечания</t>
  </si>
  <si>
    <t>Выполнено в 2014 году</t>
  </si>
  <si>
    <t>объем тыс. м 2</t>
  </si>
  <si>
    <t>стоимость тыс. руб.</t>
  </si>
  <si>
    <t>стоимость
тыс. руб.</t>
  </si>
  <si>
    <t>ст-сть  тыс. руб.</t>
  </si>
  <si>
    <t>Жесткая</t>
  </si>
  <si>
    <t>1 Нижняя 1</t>
  </si>
  <si>
    <t>жесткая</t>
  </si>
  <si>
    <t>карнизные свесы</t>
  </si>
  <si>
    <t>укрепление</t>
  </si>
  <si>
    <t>май</t>
  </si>
  <si>
    <t>Александровская 15/14</t>
  </si>
  <si>
    <t>поджптие и генметизация фальцев</t>
  </si>
  <si>
    <t>кв 13</t>
  </si>
  <si>
    <t>Александровская 20/16</t>
  </si>
  <si>
    <t>карнизный свес(поясок)</t>
  </si>
  <si>
    <t>Александровская 22/17</t>
  </si>
  <si>
    <t>Александровская 32б</t>
  </si>
  <si>
    <t>Александровская 36б</t>
  </si>
  <si>
    <t>окрытие парапета</t>
  </si>
  <si>
    <t>Александровская 40</t>
  </si>
  <si>
    <t>парапетные ограждения</t>
  </si>
  <si>
    <t>Александровская 42</t>
  </si>
  <si>
    <t>Александровскмя 9/21</t>
  </si>
  <si>
    <t>поджптие и герметизация фальцев</t>
  </si>
  <si>
    <t>кв 13,15 - карнизный свес</t>
  </si>
  <si>
    <t>Владимирская 23</t>
  </si>
  <si>
    <t>кв 10</t>
  </si>
  <si>
    <t>Владимирская 30</t>
  </si>
  <si>
    <t>Дворцовый, 59</t>
  </si>
  <si>
    <t>карнизный свес</t>
  </si>
  <si>
    <t>кв.17</t>
  </si>
  <si>
    <t>Ж.Антоненко 16</t>
  </si>
  <si>
    <t>окрытие парапета, карнизные свесы</t>
  </si>
  <si>
    <t>кв 39,78 - укрепление</t>
  </si>
  <si>
    <t>Ж.Антоненко 8</t>
  </si>
  <si>
    <t>окрытие парапета, поджатие и гермет.фальцев</t>
  </si>
  <si>
    <t>450-покрытие, 100-фальцы</t>
  </si>
  <si>
    <t>смена покрытия</t>
  </si>
  <si>
    <t>Красноармейская 23а</t>
  </si>
  <si>
    <t>кв 9</t>
  </si>
  <si>
    <t>Красноармейская 37а</t>
  </si>
  <si>
    <t>Красного Флота 1а</t>
  </si>
  <si>
    <t>поджптие и герметизация фальцев,                                      карнизные свесы</t>
  </si>
  <si>
    <t>(кв 37) подж.герм-40, карн.св.-40</t>
  </si>
  <si>
    <t>авг</t>
  </si>
  <si>
    <t>Красного Флота 30</t>
  </si>
  <si>
    <t>смена</t>
  </si>
  <si>
    <t>Красного флота 5</t>
  </si>
  <si>
    <t>кв 7,9,18</t>
  </si>
  <si>
    <t>Красного Флота 6</t>
  </si>
  <si>
    <t>отливы (карнизные свесы)</t>
  </si>
  <si>
    <t>кв 38</t>
  </si>
  <si>
    <t>Красного Флота 7</t>
  </si>
  <si>
    <t>Красного Флота 9/46</t>
  </si>
  <si>
    <t>поясок</t>
  </si>
  <si>
    <t>Кронштадтская 4а</t>
  </si>
  <si>
    <t>Кронштадтская 7</t>
  </si>
  <si>
    <t>Ломоносова 2</t>
  </si>
  <si>
    <t>Морская 84а</t>
  </si>
  <si>
    <t>парап. Огражд.</t>
  </si>
  <si>
    <t>Морская 86а</t>
  </si>
  <si>
    <t>Ораниенбаумский 33/2</t>
  </si>
  <si>
    <t>апр</t>
  </si>
  <si>
    <t>Ораниенбаумский 33/3</t>
  </si>
  <si>
    <t>Перовский 3/13</t>
  </si>
  <si>
    <t>поджптие и герметизация фальцев, см.покрытия</t>
  </si>
  <si>
    <t>50-поджатие, 15-м.покрытия</t>
  </si>
  <si>
    <t>Победы 11</t>
  </si>
  <si>
    <t>Победы 12</t>
  </si>
  <si>
    <t>Победы 19</t>
  </si>
  <si>
    <t>Победы 23</t>
  </si>
  <si>
    <t>кв 32</t>
  </si>
  <si>
    <t>Сафронова 2</t>
  </si>
  <si>
    <t>кв 4</t>
  </si>
  <si>
    <t>Сафронова 3а</t>
  </si>
  <si>
    <t>Сафронова 4</t>
  </si>
  <si>
    <t>кв 11</t>
  </si>
  <si>
    <t>Сафронова 10</t>
  </si>
  <si>
    <t>сменв покрытия</t>
  </si>
  <si>
    <t>вых. на кровлю</t>
  </si>
  <si>
    <t>Федюнинского 14/2</t>
  </si>
  <si>
    <t>кв 35</t>
  </si>
  <si>
    <t>Швейцарская 18/1</t>
  </si>
  <si>
    <t>Швейцарская 24</t>
  </si>
  <si>
    <t>Итого жесткой :</t>
  </si>
  <si>
    <t>Мягкая</t>
  </si>
  <si>
    <t>Александровская 27</t>
  </si>
  <si>
    <t>мягкая</t>
  </si>
  <si>
    <t>Александровская 29</t>
  </si>
  <si>
    <t>кв 58</t>
  </si>
  <si>
    <t>Александровская 33</t>
  </si>
  <si>
    <t>Богумиловская 17</t>
  </si>
  <si>
    <t>кв61,1п-Промгеотехнология</t>
  </si>
  <si>
    <t>примыкание</t>
  </si>
  <si>
    <t>Костылева 16</t>
  </si>
  <si>
    <t>п.4, 5</t>
  </si>
  <si>
    <t>Некрасова 1/2</t>
  </si>
  <si>
    <t>Ораниенбаумский 27</t>
  </si>
  <si>
    <t>Ораниенбаумский 33/1</t>
  </si>
  <si>
    <t>кв53</t>
  </si>
  <si>
    <t>Ораниенбаумский 37/1</t>
  </si>
  <si>
    <t>кв 136</t>
  </si>
  <si>
    <t>Ораниенбаумский 37/2</t>
  </si>
  <si>
    <t>Ораниенбаумский 39/2</t>
  </si>
  <si>
    <t>кв.30,34,64,104,л/кл</t>
  </si>
  <si>
    <t>Ораниенбаумский 43/1</t>
  </si>
  <si>
    <t>кв 34, 28</t>
  </si>
  <si>
    <t>Ораниенбаумский 43/3</t>
  </si>
  <si>
    <t>Ораниенбаумский 37/3</t>
  </si>
  <si>
    <t>Победы 16/12</t>
  </si>
  <si>
    <t>5п- 4 плита от угла</t>
  </si>
  <si>
    <t>4п- над э/щитом, 3п</t>
  </si>
  <si>
    <t>Победы 20/1</t>
  </si>
  <si>
    <t>Победы 21</t>
  </si>
  <si>
    <t>Победы 32/2</t>
  </si>
  <si>
    <t>Победы 34/1</t>
  </si>
  <si>
    <t>кв 250</t>
  </si>
  <si>
    <t>Победы 36/1</t>
  </si>
  <si>
    <t>кв 321</t>
  </si>
  <si>
    <t>Скуридина 2</t>
  </si>
  <si>
    <t>Скуридина 3</t>
  </si>
  <si>
    <t>1п</t>
  </si>
  <si>
    <t>Федюнинского 14/1</t>
  </si>
  <si>
    <t>кв 33,177</t>
  </si>
  <si>
    <t>Федюнинского 3/1</t>
  </si>
  <si>
    <t>входы в подвал 1,2п, кв 23</t>
  </si>
  <si>
    <t>Федюнинского 5/4</t>
  </si>
  <si>
    <t>кв 45, 33, 58</t>
  </si>
  <si>
    <t>Швейцарская 1</t>
  </si>
  <si>
    <t>кв 52, 14,63</t>
  </si>
  <si>
    <t>Швейцарская 10</t>
  </si>
  <si>
    <t>Швейцарская 16/1</t>
  </si>
  <si>
    <t>Итого мягкой:</t>
  </si>
  <si>
    <t>Итого жесткая и мягкая:</t>
  </si>
  <si>
    <t>1 Нижняя 5</t>
  </si>
  <si>
    <t>Александровская 23</t>
  </si>
  <si>
    <t>Александровская 23а</t>
  </si>
  <si>
    <t>Александровская 32в</t>
  </si>
  <si>
    <t>Александровская 36а</t>
  </si>
  <si>
    <t>октырие парапета</t>
  </si>
  <si>
    <t>Александровская 45</t>
  </si>
  <si>
    <t>Владимирская 4</t>
  </si>
  <si>
    <t>Владимирская 21</t>
  </si>
  <si>
    <t>Владимирская 20/2</t>
  </si>
  <si>
    <t>Владимирская 27</t>
  </si>
  <si>
    <t>Дворцовый 31</t>
  </si>
  <si>
    <t>Дворцовый 55/8</t>
  </si>
  <si>
    <t>Дворцовый 49</t>
  </si>
  <si>
    <t>Еленинская 31</t>
  </si>
  <si>
    <t>Иликовский 30</t>
  </si>
  <si>
    <t>Иликовский 26а</t>
  </si>
  <si>
    <t>Иликовский 28</t>
  </si>
  <si>
    <t>Костылева 17</t>
  </si>
  <si>
    <t>Красноармейская 23</t>
  </si>
  <si>
    <t>Красного Флота 3</t>
  </si>
  <si>
    <t>Красного Флота 30а</t>
  </si>
  <si>
    <t>Михайловская 24/22</t>
  </si>
  <si>
    <t>Некрасова 1/1</t>
  </si>
  <si>
    <t>Ораниенбаумский 21</t>
  </si>
  <si>
    <t>Ораниенбаумский 31</t>
  </si>
  <si>
    <t>Ораниенбаумский 47</t>
  </si>
  <si>
    <t>Ораниенбаумский 49/1</t>
  </si>
  <si>
    <t>Победы 1</t>
  </si>
  <si>
    <t>Победы 36/2</t>
  </si>
  <si>
    <t>Профсоюзная 25</t>
  </si>
  <si>
    <t>Профсоюзная 26</t>
  </si>
  <si>
    <t>Сафронова 6</t>
  </si>
  <si>
    <t>Сафронова 8</t>
  </si>
  <si>
    <t>Федюнинского 3/2</t>
  </si>
  <si>
    <t>Федюнинского 5/1</t>
  </si>
  <si>
    <t>Итого жесткие:</t>
  </si>
  <si>
    <t>Александровская 30</t>
  </si>
  <si>
    <t>Владимирская 16</t>
  </si>
  <si>
    <t>Владимирская 25</t>
  </si>
  <si>
    <t>кв 54</t>
  </si>
  <si>
    <t>Ораниенбаумский 27/2</t>
  </si>
  <si>
    <t>Ораниенбаумский 43/2</t>
  </si>
  <si>
    <t>Победы 21а</t>
  </si>
  <si>
    <t>Победы 22/7</t>
  </si>
  <si>
    <t>Скуридина 1</t>
  </si>
  <si>
    <t>Швейцврская 18/2</t>
  </si>
  <si>
    <t>Швейцврская 8/1</t>
  </si>
  <si>
    <t>Итого мягкие:</t>
  </si>
  <si>
    <t>Всего дополнительно:</t>
  </si>
  <si>
    <t>Всего</t>
  </si>
  <si>
    <t>Утверждаю
Генеральный директор
ООО "ЖКС г. Ломоносова"
_________Соловьев И.Е.</t>
  </si>
  <si>
    <t>Адресная программа  текущего ремонта по замене водосточных труб 
ООО "ЖКС г. Ломоносова" на 2014 год.</t>
  </si>
  <si>
    <t>воронки
шт.</t>
  </si>
  <si>
    <t>звенья
шт.</t>
  </si>
  <si>
    <t>колена
шт.</t>
  </si>
  <si>
    <t>отливы
шт.</t>
  </si>
  <si>
    <t>Ст-ть в тыс. руб.</t>
  </si>
  <si>
    <t>звено</t>
  </si>
  <si>
    <t>воронка</t>
  </si>
  <si>
    <t>отмет</t>
  </si>
  <si>
    <t>колено</t>
  </si>
  <si>
    <t>Выполнено в 2014г.</t>
  </si>
  <si>
    <t>шт</t>
  </si>
  <si>
    <t>примечание</t>
  </si>
  <si>
    <t>тыс.руб.</t>
  </si>
  <si>
    <t>Александровская 25</t>
  </si>
  <si>
    <t>Александровская 28</t>
  </si>
  <si>
    <t>Александровская 31</t>
  </si>
  <si>
    <t>Александровская 36в</t>
  </si>
  <si>
    <t>Владимирская 22</t>
  </si>
  <si>
    <t>Владимирская 24</t>
  </si>
  <si>
    <t>Владимирская 26</t>
  </si>
  <si>
    <t>Владимирская 26а</t>
  </si>
  <si>
    <t>Дворцовый 32</t>
  </si>
  <si>
    <t>во дворе</t>
  </si>
  <si>
    <t>Дворцовый 34</t>
  </si>
  <si>
    <t xml:space="preserve">соед.зв. На ур 2эт </t>
  </si>
  <si>
    <t>Дворцовый 38</t>
  </si>
  <si>
    <t>Дворцовый 43/6</t>
  </si>
  <si>
    <t>Дворцовый 59</t>
  </si>
  <si>
    <t>на надстройкой</t>
  </si>
  <si>
    <t>Еленинская 29</t>
  </si>
  <si>
    <t>Красноармейская 10</t>
  </si>
  <si>
    <t>Красноармейская 37</t>
  </si>
  <si>
    <t>Красноармейская 4</t>
  </si>
  <si>
    <t>Красноармейская 8</t>
  </si>
  <si>
    <t>Красного Флота 1б</t>
  </si>
  <si>
    <t>газ. труб.</t>
  </si>
  <si>
    <t>Красного Флота 5</t>
  </si>
  <si>
    <t>Красного Флота 7а</t>
  </si>
  <si>
    <t>Кронштадтская 6/49</t>
  </si>
  <si>
    <t>Ломоносова 14а</t>
  </si>
  <si>
    <t>Петровский 4</t>
  </si>
  <si>
    <t>Победы 11а</t>
  </si>
  <si>
    <t>Победы 11б</t>
  </si>
  <si>
    <t>Победы 3</t>
  </si>
  <si>
    <t>Победы 3а</t>
  </si>
  <si>
    <t>Победы 5</t>
  </si>
  <si>
    <t>Победы 9</t>
  </si>
  <si>
    <t>Профсоюзная 11а</t>
  </si>
  <si>
    <t xml:space="preserve"> от 7п</t>
  </si>
  <si>
    <t>Рубакина 12</t>
  </si>
  <si>
    <t>Сафронова 1</t>
  </si>
  <si>
    <t>Сафронова 1а</t>
  </si>
  <si>
    <t>Скуридина 9</t>
  </si>
  <si>
    <t>Федюнинского 16</t>
  </si>
  <si>
    <t>Швейцарская 7</t>
  </si>
  <si>
    <t>3п</t>
  </si>
  <si>
    <t>2п</t>
  </si>
  <si>
    <t>Швейцарская 9</t>
  </si>
  <si>
    <t>ИТОГО:</t>
  </si>
  <si>
    <t>Стоимость в тыс. руб.</t>
  </si>
  <si>
    <t>Скуридина 6</t>
  </si>
  <si>
    <t>Александровская 32а</t>
  </si>
  <si>
    <t>Дворцовый 51</t>
  </si>
  <si>
    <t>Еленинская 27/10</t>
  </si>
  <si>
    <t>Ж.Антоненко 12</t>
  </si>
  <si>
    <t>Ж.Антоненко 14а</t>
  </si>
  <si>
    <t>Красного Флота 1</t>
  </si>
  <si>
    <t>Михайловская 18а</t>
  </si>
  <si>
    <t>Ораниенбаумский 45/3</t>
  </si>
  <si>
    <t>Швейцарская 8/1</t>
  </si>
  <si>
    <t>№ п/п</t>
  </si>
  <si>
    <t>Усиление элементов деревянной стропильной системы</t>
  </si>
  <si>
    <t>т.руб.</t>
  </si>
  <si>
    <t>тыс.м2</t>
  </si>
  <si>
    <t>Сафронова 3в</t>
  </si>
  <si>
    <t>Дополнительная теплоизоляция верхней разводки</t>
  </si>
  <si>
    <t>п.м</t>
  </si>
  <si>
    <t>системы отопления (по всей разводке)</t>
  </si>
  <si>
    <t>Александпровская 22/17</t>
  </si>
  <si>
    <t>ут</t>
  </si>
  <si>
    <t>и.нь</t>
  </si>
  <si>
    <t>Елениеская  21</t>
  </si>
  <si>
    <t>Еленинская 9/1</t>
  </si>
  <si>
    <t>Елениская 31</t>
  </si>
  <si>
    <t>Иликовский 24б</t>
  </si>
  <si>
    <t>Красноармейская 12</t>
  </si>
  <si>
    <t>Красноармейская 27</t>
  </si>
  <si>
    <t>Красноармейская 29</t>
  </si>
  <si>
    <t>и.ль</t>
  </si>
  <si>
    <t>Ораниенбаумский 21/2</t>
  </si>
  <si>
    <t>Ораниенбаумский 29</t>
  </si>
  <si>
    <t>Петровский 3/13</t>
  </si>
  <si>
    <t>Победы 15</t>
  </si>
  <si>
    <t>Победы 2</t>
  </si>
  <si>
    <t>Победы 6</t>
  </si>
  <si>
    <t>сен</t>
  </si>
  <si>
    <t>окт</t>
  </si>
  <si>
    <t>ноя</t>
  </si>
  <si>
    <t>Федюнинского 3/3</t>
  </si>
  <si>
    <t>дек</t>
  </si>
  <si>
    <t>Швейцарская 8/2</t>
  </si>
  <si>
    <t>Швейццарская 16/1</t>
  </si>
  <si>
    <t>Швейццарская 8/2</t>
  </si>
  <si>
    <t>Выполнение плана текущего ремонта  за 2014 год                                                                                   ООО "ЖКС г. Ломоносова"</t>
  </si>
  <si>
    <t>т.п.м</t>
  </si>
  <si>
    <t>Адресная программа по установке металлических дверей и  решеток на  2014 год.
ООО "ЖКС г. Ломоносова"</t>
  </si>
  <si>
    <t>шт.</t>
  </si>
  <si>
    <t>кв. м.</t>
  </si>
  <si>
    <t>стоимость в т.р.</t>
  </si>
  <si>
    <t>хоз. сп.</t>
  </si>
  <si>
    <t>подр.сп.</t>
  </si>
  <si>
    <t>подв/окна</t>
  </si>
  <si>
    <t>выполнение</t>
  </si>
  <si>
    <t>Примечание</t>
  </si>
  <si>
    <t>двери</t>
  </si>
  <si>
    <t>решетки</t>
  </si>
  <si>
    <t>подряд</t>
  </si>
  <si>
    <t>срок</t>
  </si>
  <si>
    <t>м2</t>
  </si>
  <si>
    <t>стоим.</t>
  </si>
  <si>
    <t>дв. Зап. Вых., дверь на чердак</t>
  </si>
  <si>
    <t>1,2м2 - подвал</t>
  </si>
  <si>
    <t>обреш. спуск в подвал</t>
  </si>
  <si>
    <t>Еленинская 21</t>
  </si>
  <si>
    <t>подв.-2, черд-10, кров.-10, м/кам-10</t>
  </si>
  <si>
    <t>чер.-10, подв.2</t>
  </si>
  <si>
    <t>подв.-8, черд-8, кров-8, м/кам.-8</t>
  </si>
  <si>
    <t>чер.-8, подв-3</t>
  </si>
  <si>
    <t>подв-2,черд-6,кров-5,мус.кам.6</t>
  </si>
  <si>
    <t>двери в подвал</t>
  </si>
  <si>
    <t>двери в подвал 1,2п</t>
  </si>
  <si>
    <t>7-дв на подвал, 8-реш на окна</t>
  </si>
  <si>
    <t>дв на подвал 2,4п</t>
  </si>
  <si>
    <t>Токарева 18а</t>
  </si>
  <si>
    <t>подвал</t>
  </si>
  <si>
    <t>Итого:</t>
  </si>
  <si>
    <t>Красного Флота 4</t>
  </si>
  <si>
    <t>Кронштадтская 4</t>
  </si>
  <si>
    <t>9-кровля,9-чердак, 4-подвал</t>
  </si>
  <si>
    <t>Пулеметчиков 20</t>
  </si>
  <si>
    <t>на подвал</t>
  </si>
  <si>
    <t>Швейцарская 18/2</t>
  </si>
  <si>
    <t>Адресная программа текущего ремонта  окон на 2014 год</t>
  </si>
  <si>
    <t>весенний осмотр</t>
  </si>
  <si>
    <t>№</t>
  </si>
  <si>
    <t>всего</t>
  </si>
  <si>
    <t>остекление</t>
  </si>
  <si>
    <t>ремонт рам</t>
  </si>
  <si>
    <t>изготовление</t>
  </si>
  <si>
    <t>выполнено в 2014 г.</t>
  </si>
  <si>
    <t>рам</t>
  </si>
  <si>
    <t>рамок (подвальн.окон)</t>
  </si>
  <si>
    <t>л/клет</t>
  </si>
  <si>
    <t>остекл.</t>
  </si>
  <si>
    <t>чердак</t>
  </si>
  <si>
    <t>пристрожка</t>
  </si>
  <si>
    <t>1-2п</t>
  </si>
  <si>
    <t>1-4п</t>
  </si>
  <si>
    <t>1-3п</t>
  </si>
  <si>
    <t>4-5п</t>
  </si>
  <si>
    <t>2-4п</t>
  </si>
  <si>
    <t>5эт 4п</t>
  </si>
  <si>
    <t>0,55*0,43</t>
  </si>
  <si>
    <t>изгот.рамок</t>
  </si>
  <si>
    <t xml:space="preserve"> </t>
  </si>
  <si>
    <t xml:space="preserve">все окна </t>
  </si>
  <si>
    <t>Богумиловская 13</t>
  </si>
  <si>
    <t>1п, 4п</t>
  </si>
  <si>
    <t>шпингалеты</t>
  </si>
  <si>
    <t>4п</t>
  </si>
  <si>
    <t xml:space="preserve">Л-1п -4эт-пристрожка, 4п-5эт.рем.форточки </t>
  </si>
  <si>
    <t>1п(2,5эт), 4п(2,3эт) - пристрожка</t>
  </si>
  <si>
    <t>Красного Флота 20/41</t>
  </si>
  <si>
    <t xml:space="preserve"> 1-4п</t>
  </si>
  <si>
    <t>1,2эт</t>
  </si>
  <si>
    <t>замена</t>
  </si>
  <si>
    <t>Ораниеннбаумский 39/2</t>
  </si>
  <si>
    <t>1,2п</t>
  </si>
  <si>
    <t>1п-изготов.,3п-(4,5эт)-пристрожка</t>
  </si>
  <si>
    <t>рем или замена</t>
  </si>
  <si>
    <t>3,2п</t>
  </si>
  <si>
    <t>засетч.продухов</t>
  </si>
  <si>
    <t>Федюинского 16</t>
  </si>
  <si>
    <t>Федюнинского 5/2</t>
  </si>
  <si>
    <t>1п-нет рамы,2,4,5п - стекло,</t>
  </si>
  <si>
    <t>Швейцарская 6</t>
  </si>
  <si>
    <t>Александровская 5</t>
  </si>
  <si>
    <t>Ж.Антоненко 6</t>
  </si>
  <si>
    <t>изготовление рам</t>
  </si>
  <si>
    <t>Михайловская 10/2</t>
  </si>
  <si>
    <t>Швейцарская 2</t>
  </si>
  <si>
    <t>Сафронова 3</t>
  </si>
  <si>
    <t>Швейцарская 14/1</t>
  </si>
  <si>
    <t>Адресная программа ремонта лестничных клеток жилых домов</t>
  </si>
  <si>
    <t xml:space="preserve"> ООО "ЖКС г. Ломоносова" на 2014год.</t>
  </si>
  <si>
    <t>№ п\п</t>
  </si>
  <si>
    <t>этажность</t>
  </si>
  <si>
    <t>1 квартал</t>
  </si>
  <si>
    <t>2 квартал</t>
  </si>
  <si>
    <t>3 квартал</t>
  </si>
  <si>
    <t>4квартал</t>
  </si>
  <si>
    <t>выполнено 2014 г.</t>
  </si>
  <si>
    <t>л\кл</t>
  </si>
  <si>
    <t>стоимость</t>
  </si>
  <si>
    <t>в т.ч.</t>
  </si>
  <si>
    <t>л/клетки</t>
  </si>
  <si>
    <t>сумма</t>
  </si>
  <si>
    <t>л\клетки</t>
  </si>
  <si>
    <t>хоз.спос.</t>
  </si>
  <si>
    <t>к-во клеток</t>
  </si>
  <si>
    <t>кол-во</t>
  </si>
  <si>
    <t>площ.</t>
  </si>
  <si>
    <t>т.руб</t>
  </si>
  <si>
    <t>тыс.руб</t>
  </si>
  <si>
    <t>т.м2</t>
  </si>
  <si>
    <t>1я Нижняя,   5</t>
  </si>
  <si>
    <t>Александровская,   5</t>
  </si>
  <si>
    <t>Александровская,  22/17</t>
  </si>
  <si>
    <t>Александровская,  30</t>
  </si>
  <si>
    <t>Александровская,  36б</t>
  </si>
  <si>
    <t>Богумиловская, 13</t>
  </si>
  <si>
    <t>Владимирская,  21</t>
  </si>
  <si>
    <t>Владимирская,  23</t>
  </si>
  <si>
    <t>Дворцовый пр,  31</t>
  </si>
  <si>
    <t>Дворцовый пр,  49</t>
  </si>
  <si>
    <t>Дворцовый пр,  51</t>
  </si>
  <si>
    <t>Дворцовый пр,  53</t>
  </si>
  <si>
    <t>Дворцовый пр,  59</t>
  </si>
  <si>
    <t>Ж.Антоненко,  12</t>
  </si>
  <si>
    <t>Иликовский,  28</t>
  </si>
  <si>
    <t>Иликовский,  30/2</t>
  </si>
  <si>
    <t>Красноармейская,  27</t>
  </si>
  <si>
    <t>Красноармейская,  37а</t>
  </si>
  <si>
    <t>Красного Флота,   3</t>
  </si>
  <si>
    <t>Красного Флота,   5</t>
  </si>
  <si>
    <t>Красного Флота,   6</t>
  </si>
  <si>
    <t>Красного Флота,   7</t>
  </si>
  <si>
    <t>Кронштадтская,  6/49</t>
  </si>
  <si>
    <t>Михайловская,  24/  22</t>
  </si>
  <si>
    <t>Морская,  84а</t>
  </si>
  <si>
    <t>Морская,  86а</t>
  </si>
  <si>
    <t>Ораниенбаумский пр., 21</t>
  </si>
  <si>
    <t>Ораниенбаумский пр., 21/2</t>
  </si>
  <si>
    <t>Ораниенбаумский пр., 27</t>
  </si>
  <si>
    <t>Ораниенбаумский,  пр.  31</t>
  </si>
  <si>
    <t>Ораниенбаумский, 37 к.1</t>
  </si>
  <si>
    <t>Ораниенбаумский, 37 к.2</t>
  </si>
  <si>
    <t>Ораниенбаумский, 45 к.3</t>
  </si>
  <si>
    <t>Победы,  22/ 7</t>
  </si>
  <si>
    <t>Победы, 36 корпус 1</t>
  </si>
  <si>
    <t>Сафронова,   3</t>
  </si>
  <si>
    <t>Сафронова,   6</t>
  </si>
  <si>
    <t>Федюнинского,14 корпус 2</t>
  </si>
  <si>
    <t>Швейцарская, 1</t>
  </si>
  <si>
    <t xml:space="preserve">Швейцарская,  14           </t>
  </si>
  <si>
    <t>Швейцарская, 24</t>
  </si>
  <si>
    <t>Утверждаю
Генеральный директор
ООО "ЖКС г. Ломоносова"
__________Бурмисов С.С.</t>
  </si>
  <si>
    <t xml:space="preserve">Адресная программа текущего ремонта по  герметизации стыков стеновых панелей на 2014 год
ООО  "ЖКС г. Ломоносова" </t>
  </si>
  <si>
    <t>№ квартир</t>
  </si>
  <si>
    <t>1 этаж</t>
  </si>
  <si>
    <t>подр.сп</t>
  </si>
  <si>
    <t xml:space="preserve">стоимость
тыс. руб.
</t>
  </si>
  <si>
    <t>Выполнено</t>
  </si>
  <si>
    <t>п.м.</t>
  </si>
  <si>
    <t>тыс. п.м.</t>
  </si>
  <si>
    <t>тыс.п.м</t>
  </si>
  <si>
    <t>тыс. пм</t>
  </si>
  <si>
    <t xml:space="preserve"> п.м.</t>
  </si>
  <si>
    <t>кв. 14</t>
  </si>
  <si>
    <t>кв 14</t>
  </si>
  <si>
    <t>кв 40,42, 45, 30,34,38</t>
  </si>
  <si>
    <t xml:space="preserve"> кв. 40,30,34,38</t>
  </si>
  <si>
    <t xml:space="preserve">кв30 </t>
  </si>
  <si>
    <t>кв 40, 54</t>
  </si>
  <si>
    <t>кв.40,54</t>
  </si>
  <si>
    <t>кв  1, 2, 3,6, 7, 8,9, 10,11, 12, 13 ,14,15,17, 18, 21,23, 24 ,25,33,36,39,42,45</t>
  </si>
  <si>
    <t xml:space="preserve"> кв 1,2,3,17,18</t>
  </si>
  <si>
    <t>кв 6-15, 23-25, 33-37</t>
  </si>
  <si>
    <t>кв 38-40.</t>
  </si>
  <si>
    <t>кв.42. 45. 48. 50</t>
  </si>
  <si>
    <t>кв 1,4</t>
  </si>
  <si>
    <t>между 6-7п.+1,5м за вод.труб</t>
  </si>
  <si>
    <t>кв 8. 10. 12</t>
  </si>
  <si>
    <t>кв 6, 15, 19,65</t>
  </si>
  <si>
    <t>кв 6,15,19,65</t>
  </si>
  <si>
    <t>кв. 68,75</t>
  </si>
  <si>
    <t>кв  55</t>
  </si>
  <si>
    <t>кв. 7</t>
  </si>
  <si>
    <t>кв. 32</t>
  </si>
  <si>
    <t>кв. 15</t>
  </si>
  <si>
    <t xml:space="preserve"> кв.15.10</t>
  </si>
  <si>
    <t>кв 8,11</t>
  </si>
  <si>
    <t>кв. 8.11</t>
  </si>
  <si>
    <t>кв 52,66,33,71, 76</t>
  </si>
  <si>
    <t>кв4</t>
  </si>
  <si>
    <t>30.300</t>
  </si>
  <si>
    <t>кв. 28.31.32</t>
  </si>
  <si>
    <t>кв.31</t>
  </si>
  <si>
    <t>кв 12, 17, 65, 36,33</t>
  </si>
  <si>
    <t>кв. 12.17.33.36.65</t>
  </si>
  <si>
    <t>кв.12</t>
  </si>
  <si>
    <t>кв 137</t>
  </si>
  <si>
    <t>кв 29</t>
  </si>
  <si>
    <t>кв 60, 40</t>
  </si>
  <si>
    <t>кв 35, 66, 74,76</t>
  </si>
  <si>
    <t>кв 48-оо4</t>
  </si>
  <si>
    <t>кв.35,33</t>
  </si>
  <si>
    <t>кв. 48</t>
  </si>
  <si>
    <t>кв. 103</t>
  </si>
  <si>
    <t>торец</t>
  </si>
  <si>
    <t xml:space="preserve"> кв.25.29</t>
  </si>
  <si>
    <t xml:space="preserve">подъезд </t>
  </si>
  <si>
    <t>л/к где кв. 32</t>
  </si>
  <si>
    <t>кв 65</t>
  </si>
  <si>
    <t xml:space="preserve">кв. 5.6 </t>
  </si>
  <si>
    <t>17,18,31,60,66,68</t>
  </si>
  <si>
    <t>6 эт</t>
  </si>
  <si>
    <t>кв 171,179,180</t>
  </si>
  <si>
    <t>кв 13, 49</t>
  </si>
  <si>
    <t>кв. 63, 13</t>
  </si>
  <si>
    <t>кв63</t>
  </si>
  <si>
    <t>кв. 145. 321</t>
  </si>
  <si>
    <t>кв.32</t>
  </si>
  <si>
    <t>кв 371</t>
  </si>
  <si>
    <t>кв371</t>
  </si>
  <si>
    <t xml:space="preserve">Победы 6 </t>
  </si>
  <si>
    <t>кв.2</t>
  </si>
  <si>
    <t>кв 7</t>
  </si>
  <si>
    <t>кв.7,18</t>
  </si>
  <si>
    <t>кв. 9, 10</t>
  </si>
  <si>
    <t>кв 7,9,10</t>
  </si>
  <si>
    <t>кв 41,98</t>
  </si>
  <si>
    <t>кв.29</t>
  </si>
  <si>
    <t>24 Нат.Григ.</t>
  </si>
  <si>
    <t>кв.27,30</t>
  </si>
  <si>
    <t>кв 50</t>
  </si>
  <si>
    <t>3п. (с 16-45), кв 12, 27</t>
  </si>
  <si>
    <t>кв 35, 59, 254,319</t>
  </si>
  <si>
    <t>кв. 59.254 319</t>
  </si>
  <si>
    <t>кв. 23</t>
  </si>
  <si>
    <t>кв. 50</t>
  </si>
  <si>
    <t>кв.75</t>
  </si>
  <si>
    <t>кв 57, 60</t>
  </si>
  <si>
    <t>кв 36</t>
  </si>
  <si>
    <t>кв 42,27</t>
  </si>
  <si>
    <t>кв 12, кв 11</t>
  </si>
  <si>
    <t>Ораниенбаумский 49</t>
  </si>
  <si>
    <t>кв 69</t>
  </si>
  <si>
    <t>кв 48</t>
  </si>
  <si>
    <t>кв18</t>
  </si>
  <si>
    <t>Дополнительно выполнено работ:</t>
  </si>
  <si>
    <t>План</t>
  </si>
  <si>
    <t>воронки</t>
  </si>
  <si>
    <t>звенья</t>
  </si>
  <si>
    <t>колена</t>
  </si>
  <si>
    <t>отливы</t>
  </si>
  <si>
    <t>Дополнительно выполнено работ</t>
  </si>
  <si>
    <t>Итого</t>
  </si>
  <si>
    <t xml:space="preserve">дополнительно  установлено </t>
  </si>
  <si>
    <t>дополнительно выполнено работ</t>
  </si>
  <si>
    <t>ВСЕГО:</t>
  </si>
  <si>
    <t>кв 158,252,65,12,272, 55</t>
  </si>
  <si>
    <t>кв 8, 10, 12</t>
  </si>
  <si>
    <t>кв 34, 33</t>
  </si>
  <si>
    <t>кв.32 - л/клетка</t>
  </si>
  <si>
    <t>кв 23, 60, 5</t>
  </si>
  <si>
    <t>кв.  17, 18,  68, 65, 66, 60,31</t>
  </si>
  <si>
    <t>кв 171,179, 180</t>
  </si>
  <si>
    <t>кв. 63,73, 13</t>
  </si>
  <si>
    <t>кв. 32,90, 145, 15,176, 321</t>
  </si>
  <si>
    <t>кв 7,22,24,25,50, 27</t>
  </si>
  <si>
    <t>кв 42, 27</t>
  </si>
  <si>
    <t>ДОПОЛНИТЕЛЬНО</t>
  </si>
  <si>
    <t>Подряд</t>
  </si>
  <si>
    <t>ВСЕГО в 2014 г.:</t>
  </si>
  <si>
    <t>всего план:</t>
  </si>
  <si>
    <t>в тыс.руб</t>
  </si>
  <si>
    <t>итого план :</t>
  </si>
  <si>
    <t>ВСЕГО в 2014:</t>
  </si>
  <si>
    <t>Всего в 2014</t>
  </si>
  <si>
    <t>ИТОГО в 2014 г.</t>
  </si>
  <si>
    <t>Дополнительная теплоизоляция верхней  и нижней разводки</t>
  </si>
  <si>
    <t>Всего в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</si>
</sst>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"/>
  </numFmts>
  <fonts count="7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6"/>
      <color rgb="FFFF0066"/>
      <name val="Times New Roman"/>
      <family val="1"/>
      <charset val="204"/>
    </font>
    <font>
      <b/>
      <sz val="6"/>
      <color rgb="FFFF0066"/>
      <name val="Arial Cyr"/>
      <charset val="204"/>
    </font>
    <font>
      <sz val="10"/>
      <color rgb="FFFF0066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sz val="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  <font>
      <b/>
      <sz val="12"/>
      <color rgb="FFFF0066"/>
      <name val="Times New Roman"/>
      <family val="1"/>
      <charset val="204"/>
    </font>
    <font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Arial Cyr"/>
      <charset val="204"/>
    </font>
    <font>
      <b/>
      <i/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i/>
      <sz val="10"/>
      <color rgb="FF0000FF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rgb="FF0000FF"/>
      <name val="Arial Cyr"/>
      <charset val="204"/>
    </font>
    <font>
      <b/>
      <sz val="9"/>
      <name val="Times New Roman"/>
      <family val="1"/>
      <charset val="204"/>
    </font>
    <font>
      <b/>
      <i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Calibri"/>
      <family val="2"/>
      <charset val="204"/>
    </font>
    <font>
      <sz val="10"/>
      <name val="Arial Narrow"/>
      <family val="2"/>
      <charset val="204"/>
    </font>
    <font>
      <sz val="10"/>
      <color theme="5" tint="-0.249977111117893"/>
      <name val="Arial Narrow"/>
      <family val="2"/>
      <charset val="204"/>
    </font>
    <font>
      <b/>
      <sz val="8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color rgb="FFFF0000"/>
      <name val="Microsoft New Tai Lue"/>
      <family val="2"/>
    </font>
    <font>
      <sz val="12"/>
      <color rgb="FFFF0000"/>
      <name val="Times New Roman"/>
      <family val="1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6"/>
      <name val="Arial Cyr"/>
      <charset val="204"/>
    </font>
    <font>
      <sz val="10"/>
      <color rgb="FFC00000"/>
      <name val="Arial Cyr"/>
      <charset val="204"/>
    </font>
    <font>
      <b/>
      <sz val="10"/>
      <color rgb="FFC00000"/>
      <name val="Arial Cyr"/>
      <charset val="204"/>
    </font>
    <font>
      <sz val="9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FF"/>
      <name val="Arial Cyr"/>
      <charset val="204"/>
    </font>
    <font>
      <sz val="12"/>
      <color theme="1"/>
      <name val="Times New Roman"/>
      <family val="1"/>
      <charset val="204"/>
    </font>
    <font>
      <b/>
      <sz val="10"/>
      <color rgb="FFCC0099"/>
      <name val="Arial Cyr"/>
      <charset val="204"/>
    </font>
    <font>
      <sz val="12"/>
      <name val="Arial Cyr"/>
      <charset val="204"/>
    </font>
    <font>
      <b/>
      <sz val="9"/>
      <color rgb="FFFF0066"/>
      <name val="Arial Cyr"/>
      <charset val="204"/>
    </font>
    <font>
      <b/>
      <sz val="9"/>
      <color rgb="FFFF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8"/>
      <name val="Arial Cyr"/>
      <charset val="204"/>
    </font>
    <font>
      <i/>
      <sz val="10"/>
      <name val="Times New Roman"/>
      <family val="1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b/>
      <sz val="8"/>
      <color theme="1"/>
      <name val="Times New Roman"/>
      <family val="1"/>
      <charset val="204"/>
    </font>
    <font>
      <b/>
      <sz val="7"/>
      <color theme="1"/>
      <name val="Arial Cyr"/>
      <charset val="204"/>
    </font>
    <font>
      <b/>
      <sz val="12"/>
      <color theme="1"/>
      <name val="Arial Cyr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medium">
        <color rgb="FF0000CC"/>
      </right>
      <top style="thin">
        <color rgb="FF0000FF"/>
      </top>
      <bottom style="thin">
        <color rgb="FF0000FF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41" fillId="0" borderId="0"/>
    <xf numFmtId="0" fontId="1" fillId="0" borderId="0"/>
  </cellStyleXfs>
  <cellXfs count="1357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0" fillId="0" borderId="24" xfId="0" applyBorder="1"/>
    <xf numFmtId="0" fontId="6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0" borderId="22" xfId="0" applyFont="1" applyBorder="1"/>
    <xf numFmtId="49" fontId="13" fillId="0" borderId="27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/>
    <xf numFmtId="2" fontId="13" fillId="0" borderId="4" xfId="0" applyNumberFormat="1" applyFont="1" applyFill="1" applyBorder="1" applyAlignment="1">
      <alignment horizontal="right" vertical="center" wrapText="1"/>
    </xf>
    <xf numFmtId="164" fontId="13" fillId="0" borderId="28" xfId="0" applyNumberFormat="1" applyFont="1" applyFill="1" applyBorder="1" applyAlignment="1">
      <alignment horizontal="right" vertical="center"/>
    </xf>
    <xf numFmtId="164" fontId="13" fillId="0" borderId="3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vertical="center"/>
    </xf>
    <xf numFmtId="0" fontId="0" fillId="0" borderId="0" xfId="0" applyFont="1" applyFill="1"/>
    <xf numFmtId="0" fontId="13" fillId="0" borderId="28" xfId="0" applyFont="1" applyFill="1" applyBorder="1" applyAlignment="1">
      <alignment vertical="center" wrapText="1"/>
    </xf>
    <xf numFmtId="0" fontId="13" fillId="0" borderId="31" xfId="0" applyFont="1" applyFill="1" applyBorder="1" applyAlignment="1">
      <alignment vertical="center"/>
    </xf>
    <xf numFmtId="2" fontId="13" fillId="0" borderId="32" xfId="0" applyNumberFormat="1" applyFont="1" applyFill="1" applyBorder="1" applyAlignment="1">
      <alignment vertical="center"/>
    </xf>
    <xf numFmtId="164" fontId="13" fillId="0" borderId="33" xfId="0" applyNumberFormat="1" applyFont="1" applyFill="1" applyBorder="1" applyAlignment="1">
      <alignment horizontal="center" vertical="center" wrapText="1"/>
    </xf>
    <xf numFmtId="164" fontId="13" fillId="0" borderId="34" xfId="0" applyNumberFormat="1" applyFont="1" applyFill="1" applyBorder="1" applyAlignment="1">
      <alignment horizontal="right" vertical="center"/>
    </xf>
    <xf numFmtId="164" fontId="13" fillId="0" borderId="30" xfId="0" applyNumberFormat="1" applyFont="1" applyFill="1" applyBorder="1" applyAlignment="1">
      <alignment horizontal="right" vertical="center"/>
    </xf>
    <xf numFmtId="164" fontId="13" fillId="0" borderId="35" xfId="0" applyNumberFormat="1" applyFont="1" applyFill="1" applyBorder="1" applyAlignment="1">
      <alignment horizontal="right" vertical="center"/>
    </xf>
    <xf numFmtId="0" fontId="14" fillId="0" borderId="31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vertical="center"/>
    </xf>
    <xf numFmtId="0" fontId="13" fillId="0" borderId="37" xfId="0" applyFont="1" applyFill="1" applyBorder="1" applyAlignment="1">
      <alignment vertical="center" wrapText="1"/>
    </xf>
    <xf numFmtId="0" fontId="13" fillId="0" borderId="33" xfId="0" applyFont="1" applyFill="1" applyBorder="1" applyAlignment="1">
      <alignment vertical="center"/>
    </xf>
    <xf numFmtId="2" fontId="13" fillId="0" borderId="39" xfId="0" applyNumberFormat="1" applyFont="1" applyFill="1" applyBorder="1" applyAlignment="1">
      <alignment vertical="center"/>
    </xf>
    <xf numFmtId="164" fontId="13" fillId="0" borderId="37" xfId="0" applyNumberFormat="1" applyFont="1" applyFill="1" applyBorder="1" applyAlignment="1">
      <alignment horizontal="right" vertical="center"/>
    </xf>
    <xf numFmtId="164" fontId="13" fillId="0" borderId="40" xfId="0" applyNumberFormat="1" applyFont="1" applyFill="1" applyBorder="1" applyAlignment="1">
      <alignment horizontal="right" vertical="center"/>
    </xf>
    <xf numFmtId="164" fontId="13" fillId="0" borderId="38" xfId="0" applyNumberFormat="1" applyFont="1" applyFill="1" applyBorder="1" applyAlignment="1">
      <alignment horizontal="right" vertical="center"/>
    </xf>
    <xf numFmtId="164" fontId="13" fillId="0" borderId="41" xfId="0" applyNumberFormat="1" applyFont="1" applyFill="1" applyBorder="1" applyAlignment="1">
      <alignment horizontal="right" vertical="center"/>
    </xf>
    <xf numFmtId="0" fontId="0" fillId="0" borderId="38" xfId="0" applyFont="1" applyFill="1" applyBorder="1"/>
    <xf numFmtId="0" fontId="15" fillId="0" borderId="33" xfId="0" applyFont="1" applyFill="1" applyBorder="1" applyAlignment="1">
      <alignment horizontal="center" vertical="center" wrapText="1"/>
    </xf>
    <xf numFmtId="2" fontId="13" fillId="0" borderId="42" xfId="0" applyNumberFormat="1" applyFont="1" applyFill="1" applyBorder="1" applyAlignment="1">
      <alignment horizontal="center" vertical="center"/>
    </xf>
    <xf numFmtId="0" fontId="11" fillId="0" borderId="37" xfId="0" applyFont="1" applyFill="1" applyBorder="1"/>
    <xf numFmtId="0" fontId="13" fillId="0" borderId="42" xfId="0" applyFont="1" applyFill="1" applyBorder="1" applyAlignment="1">
      <alignment horizontal="center"/>
    </xf>
    <xf numFmtId="164" fontId="11" fillId="0" borderId="37" xfId="0" applyNumberFormat="1" applyFont="1" applyFill="1" applyBorder="1"/>
    <xf numFmtId="0" fontId="14" fillId="0" borderId="33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49" fontId="13" fillId="0" borderId="37" xfId="0" applyNumberFormat="1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center" vertical="center" wrapText="1"/>
    </xf>
    <xf numFmtId="2" fontId="13" fillId="0" borderId="42" xfId="0" applyNumberFormat="1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wrapText="1"/>
    </xf>
    <xf numFmtId="0" fontId="17" fillId="0" borderId="33" xfId="0" applyFont="1" applyFill="1" applyBorder="1" applyAlignment="1">
      <alignment horizontal="center" vertical="center" wrapText="1"/>
    </xf>
    <xf numFmtId="164" fontId="11" fillId="0" borderId="37" xfId="0" applyNumberFormat="1" applyFont="1" applyFill="1" applyBorder="1" applyAlignment="1">
      <alignment vertical="center"/>
    </xf>
    <xf numFmtId="2" fontId="13" fillId="0" borderId="42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 vertical="center" wrapText="1"/>
    </xf>
    <xf numFmtId="0" fontId="18" fillId="0" borderId="33" xfId="0" applyFont="1" applyFill="1" applyBorder="1" applyAlignment="1">
      <alignment vertical="center"/>
    </xf>
    <xf numFmtId="2" fontId="18" fillId="0" borderId="39" xfId="0" applyNumberFormat="1" applyFont="1" applyFill="1" applyBorder="1" applyAlignment="1">
      <alignment vertical="center"/>
    </xf>
    <xf numFmtId="0" fontId="18" fillId="0" borderId="43" xfId="0" applyFont="1" applyFill="1" applyBorder="1" applyAlignment="1">
      <alignment vertical="center"/>
    </xf>
    <xf numFmtId="2" fontId="18" fillId="0" borderId="44" xfId="0" applyNumberFormat="1" applyFont="1" applyFill="1" applyBorder="1" applyAlignment="1">
      <alignment vertical="center"/>
    </xf>
    <xf numFmtId="164" fontId="13" fillId="0" borderId="45" xfId="0" applyNumberFormat="1" applyFont="1" applyFill="1" applyBorder="1" applyAlignment="1">
      <alignment horizontal="right" vertical="center"/>
    </xf>
    <xf numFmtId="164" fontId="13" fillId="0" borderId="46" xfId="0" applyNumberFormat="1" applyFont="1" applyFill="1" applyBorder="1" applyAlignment="1">
      <alignment horizontal="right" vertical="center"/>
    </xf>
    <xf numFmtId="164" fontId="13" fillId="0" borderId="47" xfId="0" applyNumberFormat="1" applyFont="1" applyFill="1" applyBorder="1" applyAlignment="1">
      <alignment horizontal="right" vertical="center"/>
    </xf>
    <xf numFmtId="0" fontId="14" fillId="0" borderId="43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/>
    <xf numFmtId="164" fontId="6" fillId="0" borderId="2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164" fontId="6" fillId="0" borderId="25" xfId="0" applyNumberFormat="1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vertical="center"/>
    </xf>
    <xf numFmtId="164" fontId="6" fillId="0" borderId="26" xfId="0" applyNumberFormat="1" applyFont="1" applyFill="1" applyBorder="1" applyAlignment="1">
      <alignment vertical="center"/>
    </xf>
    <xf numFmtId="0" fontId="1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vertical="center"/>
    </xf>
    <xf numFmtId="0" fontId="0" fillId="0" borderId="0" xfId="0" applyFill="1"/>
    <xf numFmtId="0" fontId="5" fillId="0" borderId="22" xfId="0" applyFont="1" applyFill="1" applyBorder="1" applyAlignment="1">
      <alignment horizontal="left" vertical="center"/>
    </xf>
    <xf numFmtId="164" fontId="6" fillId="0" borderId="24" xfId="0" applyNumberFormat="1" applyFont="1" applyFill="1" applyBorder="1" applyAlignment="1">
      <alignment vertical="center"/>
    </xf>
    <xf numFmtId="0" fontId="11" fillId="0" borderId="22" xfId="0" applyFont="1" applyFill="1" applyBorder="1"/>
    <xf numFmtId="0" fontId="13" fillId="0" borderId="27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21" fillId="0" borderId="37" xfId="0" applyFont="1" applyFill="1" applyBorder="1"/>
    <xf numFmtId="0" fontId="21" fillId="0" borderId="38" xfId="0" applyFont="1" applyFill="1" applyBorder="1"/>
    <xf numFmtId="164" fontId="21" fillId="0" borderId="37" xfId="0" applyNumberFormat="1" applyFont="1" applyFill="1" applyBorder="1"/>
    <xf numFmtId="0" fontId="0" fillId="0" borderId="10" xfId="0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164" fontId="6" fillId="0" borderId="54" xfId="0" applyNumberFormat="1" applyFont="1" applyFill="1" applyBorder="1" applyAlignment="1">
      <alignment horizontal="right" vertical="center"/>
    </xf>
    <xf numFmtId="164" fontId="6" fillId="0" borderId="25" xfId="0" applyNumberFormat="1" applyFont="1" applyFill="1" applyBorder="1" applyAlignment="1">
      <alignment horizontal="right" vertical="center"/>
    </xf>
    <xf numFmtId="164" fontId="6" fillId="0" borderId="23" xfId="0" applyNumberFormat="1" applyFont="1" applyFill="1" applyBorder="1" applyAlignment="1">
      <alignment horizontal="right" vertical="center"/>
    </xf>
    <xf numFmtId="164" fontId="6" fillId="0" borderId="26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right" vertical="center"/>
    </xf>
    <xf numFmtId="164" fontId="22" fillId="0" borderId="54" xfId="0" applyNumberFormat="1" applyFont="1" applyFill="1" applyBorder="1" applyAlignment="1">
      <alignment horizontal="right" vertical="center"/>
    </xf>
    <xf numFmtId="0" fontId="0" fillId="0" borderId="10" xfId="0" applyFill="1" applyBorder="1"/>
    <xf numFmtId="0" fontId="0" fillId="0" borderId="24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64" fontId="23" fillId="0" borderId="10" xfId="0" applyNumberFormat="1" applyFont="1" applyFill="1" applyBorder="1"/>
    <xf numFmtId="164" fontId="23" fillId="0" borderId="54" xfId="0" applyNumberFormat="1" applyFont="1" applyFill="1" applyBorder="1"/>
    <xf numFmtId="0" fontId="13" fillId="0" borderId="0" xfId="0" applyFont="1" applyFill="1"/>
    <xf numFmtId="0" fontId="21" fillId="0" borderId="0" xfId="0" applyFont="1" applyFill="1"/>
    <xf numFmtId="0" fontId="0" fillId="0" borderId="0" xfId="0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0" fontId="24" fillId="0" borderId="54" xfId="0" applyFont="1" applyFill="1" applyBorder="1"/>
    <xf numFmtId="0" fontId="0" fillId="0" borderId="25" xfId="0" applyFill="1" applyBorder="1"/>
    <xf numFmtId="0" fontId="0" fillId="0" borderId="23" xfId="0" applyFill="1" applyBorder="1"/>
    <xf numFmtId="0" fontId="21" fillId="0" borderId="23" xfId="0" applyFont="1" applyFill="1" applyBorder="1"/>
    <xf numFmtId="0" fontId="0" fillId="0" borderId="1" xfId="0" applyFill="1" applyBorder="1"/>
    <xf numFmtId="0" fontId="13" fillId="0" borderId="3" xfId="0" applyFont="1" applyFill="1" applyBorder="1"/>
    <xf numFmtId="0" fontId="0" fillId="0" borderId="6" xfId="0" applyFont="1" applyFill="1" applyBorder="1"/>
    <xf numFmtId="0" fontId="25" fillId="0" borderId="6" xfId="0" applyFont="1" applyFill="1" applyBorder="1"/>
    <xf numFmtId="0" fontId="13" fillId="0" borderId="52" xfId="0" applyFont="1" applyFill="1" applyBorder="1"/>
    <xf numFmtId="0" fontId="13" fillId="0" borderId="57" xfId="0" applyFont="1" applyFill="1" applyBorder="1"/>
    <xf numFmtId="0" fontId="13" fillId="0" borderId="34" xfId="0" applyFont="1" applyFill="1" applyBorder="1"/>
    <xf numFmtId="0" fontId="13" fillId="0" borderId="30" xfId="0" applyFont="1" applyFill="1" applyBorder="1"/>
    <xf numFmtId="0" fontId="25" fillId="0" borderId="30" xfId="0" applyFont="1" applyFill="1" applyBorder="1"/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40" xfId="0" applyFont="1" applyFill="1" applyBorder="1"/>
    <xf numFmtId="0" fontId="13" fillId="0" borderId="38" xfId="0" applyFont="1" applyFill="1" applyBorder="1"/>
    <xf numFmtId="0" fontId="25" fillId="0" borderId="38" xfId="0" applyFont="1" applyFill="1" applyBorder="1"/>
    <xf numFmtId="164" fontId="25" fillId="0" borderId="38" xfId="0" applyNumberFormat="1" applyFont="1" applyFill="1" applyBorder="1"/>
    <xf numFmtId="0" fontId="14" fillId="0" borderId="38" xfId="0" applyFont="1" applyFill="1" applyBorder="1"/>
    <xf numFmtId="0" fontId="13" fillId="0" borderId="58" xfId="0" applyFont="1" applyFill="1" applyBorder="1" applyAlignment="1">
      <alignment vertical="center" wrapText="1"/>
    </xf>
    <xf numFmtId="0" fontId="13" fillId="0" borderId="37" xfId="0" applyFont="1" applyFill="1" applyBorder="1"/>
    <xf numFmtId="0" fontId="13" fillId="0" borderId="46" xfId="0" applyFont="1" applyFill="1" applyBorder="1"/>
    <xf numFmtId="0" fontId="13" fillId="0" borderId="10" xfId="0" applyFont="1" applyFill="1" applyBorder="1"/>
    <xf numFmtId="0" fontId="13" fillId="0" borderId="54" xfId="0" applyFont="1" applyFill="1" applyBorder="1"/>
    <xf numFmtId="0" fontId="13" fillId="0" borderId="25" xfId="0" applyFont="1" applyFill="1" applyBorder="1"/>
    <xf numFmtId="0" fontId="13" fillId="0" borderId="23" xfId="0" applyFont="1" applyFill="1" applyBorder="1"/>
    <xf numFmtId="0" fontId="13" fillId="2" borderId="23" xfId="0" applyFont="1" applyFill="1" applyBorder="1"/>
    <xf numFmtId="0" fontId="26" fillId="0" borderId="23" xfId="0" applyFont="1" applyFill="1" applyBorder="1"/>
    <xf numFmtId="164" fontId="26" fillId="0" borderId="23" xfId="0" applyNumberFormat="1" applyFont="1" applyFill="1" applyBorder="1"/>
    <xf numFmtId="0" fontId="27" fillId="0" borderId="54" xfId="0" applyFont="1" applyFill="1" applyBorder="1"/>
    <xf numFmtId="0" fontId="25" fillId="0" borderId="23" xfId="0" applyFont="1" applyFill="1" applyBorder="1"/>
    <xf numFmtId="0" fontId="13" fillId="0" borderId="1" xfId="0" applyFont="1" applyFill="1" applyBorder="1"/>
    <xf numFmtId="0" fontId="13" fillId="0" borderId="61" xfId="0" applyFont="1" applyFill="1" applyBorder="1"/>
    <xf numFmtId="0" fontId="13" fillId="0" borderId="5" xfId="0" applyFont="1" applyFill="1" applyBorder="1"/>
    <xf numFmtId="0" fontId="13" fillId="0" borderId="6" xfId="0" applyFont="1" applyFill="1" applyBorder="1"/>
    <xf numFmtId="0" fontId="13" fillId="2" borderId="6" xfId="0" applyFont="1" applyFill="1" applyBorder="1"/>
    <xf numFmtId="164" fontId="25" fillId="0" borderId="6" xfId="0" applyNumberFormat="1" applyFont="1" applyFill="1" applyBorder="1"/>
    <xf numFmtId="0" fontId="13" fillId="2" borderId="38" xfId="0" applyFont="1" applyFill="1" applyBorder="1"/>
    <xf numFmtId="0" fontId="13" fillId="0" borderId="10" xfId="0" applyFont="1" applyBorder="1"/>
    <xf numFmtId="0" fontId="13" fillId="0" borderId="54" xfId="0" applyFont="1" applyBorder="1"/>
    <xf numFmtId="0" fontId="13" fillId="0" borderId="25" xfId="0" applyFont="1" applyBorder="1"/>
    <xf numFmtId="0" fontId="13" fillId="0" borderId="23" xfId="0" applyFont="1" applyBorder="1"/>
    <xf numFmtId="0" fontId="13" fillId="0" borderId="0" xfId="0" applyFont="1"/>
    <xf numFmtId="0" fontId="13" fillId="0" borderId="62" xfId="0" applyFont="1" applyBorder="1"/>
    <xf numFmtId="0" fontId="13" fillId="0" borderId="63" xfId="0" applyFont="1" applyBorder="1"/>
    <xf numFmtId="0" fontId="13" fillId="0" borderId="64" xfId="0" applyFont="1" applyBorder="1"/>
    <xf numFmtId="0" fontId="13" fillId="0" borderId="65" xfId="0" applyFont="1" applyBorder="1"/>
    <xf numFmtId="0" fontId="13" fillId="2" borderId="65" xfId="0" applyFont="1" applyFill="1" applyBorder="1"/>
    <xf numFmtId="164" fontId="26" fillId="0" borderId="65" xfId="0" applyNumberFormat="1" applyFont="1" applyFill="1" applyBorder="1"/>
    <xf numFmtId="0" fontId="13" fillId="0" borderId="62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2" borderId="65" xfId="0" applyFont="1" applyFill="1" applyBorder="1" applyAlignment="1">
      <alignment horizontal="center" vertical="center"/>
    </xf>
    <xf numFmtId="164" fontId="26" fillId="0" borderId="65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32" fillId="4" borderId="1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4" xfId="0" applyFont="1" applyFill="1" applyBorder="1" applyAlignment="1">
      <alignment horizontal="center" vertical="center"/>
    </xf>
    <xf numFmtId="0" fontId="32" fillId="4" borderId="67" xfId="0" applyFont="1" applyFill="1" applyBorder="1" applyAlignment="1">
      <alignment horizontal="center" vertical="center"/>
    </xf>
    <xf numFmtId="0" fontId="32" fillId="4" borderId="55" xfId="0" applyFont="1" applyFill="1" applyBorder="1" applyAlignment="1">
      <alignment horizontal="center" vertical="center"/>
    </xf>
    <xf numFmtId="0" fontId="32" fillId="4" borderId="65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/>
    </xf>
    <xf numFmtId="0" fontId="32" fillId="4" borderId="11" xfId="0" applyFont="1" applyFill="1" applyBorder="1" applyAlignment="1">
      <alignment horizontal="center" vertical="center"/>
    </xf>
    <xf numFmtId="0" fontId="32" fillId="4" borderId="23" xfId="0" applyFont="1" applyFill="1" applyBorder="1" applyAlignment="1">
      <alignment horizontal="center" vertical="center"/>
    </xf>
    <xf numFmtId="0" fontId="32" fillId="4" borderId="12" xfId="0" applyFont="1" applyFill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33" fillId="0" borderId="36" xfId="0" applyFont="1" applyFill="1" applyBorder="1" applyAlignment="1">
      <alignment horizontal="right"/>
    </xf>
    <xf numFmtId="0" fontId="13" fillId="0" borderId="57" xfId="0" applyFont="1" applyFill="1" applyBorder="1" applyAlignment="1">
      <alignment vertical="center"/>
    </xf>
    <xf numFmtId="0" fontId="18" fillId="0" borderId="58" xfId="0" applyFont="1" applyFill="1" applyBorder="1" applyAlignment="1">
      <alignment vertical="center"/>
    </xf>
    <xf numFmtId="0" fontId="13" fillId="0" borderId="58" xfId="0" applyFont="1" applyFill="1" applyBorder="1" applyAlignment="1">
      <alignment horizontal="left" vertical="center" wrapText="1"/>
    </xf>
    <xf numFmtId="0" fontId="13" fillId="0" borderId="58" xfId="0" applyFont="1" applyFill="1" applyBorder="1" applyAlignment="1">
      <alignment vertical="center"/>
    </xf>
    <xf numFmtId="0" fontId="13" fillId="0" borderId="38" xfId="0" applyFont="1" applyFill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right"/>
    </xf>
    <xf numFmtId="0" fontId="33" fillId="0" borderId="42" xfId="0" applyFont="1" applyFill="1" applyBorder="1" applyAlignment="1">
      <alignment horizontal="right" wrapText="1"/>
    </xf>
    <xf numFmtId="0" fontId="13" fillId="0" borderId="60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left" vertical="center" wrapText="1"/>
    </xf>
    <xf numFmtId="0" fontId="18" fillId="0" borderId="60" xfId="0" applyFont="1" applyFill="1" applyBorder="1" applyAlignment="1">
      <alignment vertical="center"/>
    </xf>
    <xf numFmtId="0" fontId="13" fillId="0" borderId="60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39" fillId="0" borderId="74" xfId="0" applyFont="1" applyFill="1" applyBorder="1" applyAlignment="1">
      <alignment vertical="center"/>
    </xf>
    <xf numFmtId="165" fontId="40" fillId="0" borderId="56" xfId="0" applyNumberFormat="1" applyFont="1" applyFill="1" applyBorder="1" applyAlignment="1">
      <alignment vertical="center"/>
    </xf>
    <xf numFmtId="0" fontId="39" fillId="0" borderId="65" xfId="0" applyFont="1" applyFill="1" applyBorder="1" applyAlignment="1">
      <alignment vertical="center"/>
    </xf>
    <xf numFmtId="165" fontId="40" fillId="0" borderId="77" xfId="0" applyNumberFormat="1" applyFont="1" applyFill="1" applyBorder="1" applyAlignment="1">
      <alignment vertical="center"/>
    </xf>
    <xf numFmtId="0" fontId="37" fillId="0" borderId="28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vertical="center"/>
    </xf>
    <xf numFmtId="166" fontId="13" fillId="0" borderId="30" xfId="0" applyNumberFormat="1" applyFont="1" applyFill="1" applyBorder="1" applyAlignment="1"/>
    <xf numFmtId="166" fontId="13" fillId="0" borderId="31" xfId="0" applyNumberFormat="1" applyFont="1" applyFill="1" applyBorder="1" applyAlignment="1">
      <alignment vertical="center"/>
    </xf>
    <xf numFmtId="0" fontId="13" fillId="0" borderId="50" xfId="0" applyNumberFormat="1" applyFont="1" applyFill="1" applyBorder="1" applyAlignment="1">
      <alignment horizontal="center" vertical="center"/>
    </xf>
    <xf numFmtId="0" fontId="18" fillId="0" borderId="65" xfId="0" applyNumberFormat="1" applyFont="1" applyFill="1" applyBorder="1" applyAlignment="1">
      <alignment vertical="center"/>
    </xf>
    <xf numFmtId="166" fontId="13" fillId="0" borderId="65" xfId="0" applyNumberFormat="1" applyFont="1" applyFill="1" applyBorder="1" applyAlignment="1"/>
    <xf numFmtId="166" fontId="13" fillId="0" borderId="77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0" fillId="0" borderId="0" xfId="0" applyFill="1" applyBorder="1"/>
    <xf numFmtId="0" fontId="0" fillId="0" borderId="75" xfId="0" applyFill="1" applyBorder="1"/>
    <xf numFmtId="0" fontId="8" fillId="0" borderId="6" xfId="0" applyFont="1" applyFill="1" applyBorder="1"/>
    <xf numFmtId="0" fontId="6" fillId="0" borderId="6" xfId="0" applyFont="1" applyFill="1" applyBorder="1" applyAlignment="1">
      <alignment horizontal="center"/>
    </xf>
    <xf numFmtId="164" fontId="24" fillId="0" borderId="3" xfId="0" applyNumberFormat="1" applyFont="1" applyFill="1" applyBorder="1"/>
    <xf numFmtId="0" fontId="8" fillId="0" borderId="38" xfId="0" applyFont="1" applyFill="1" applyBorder="1"/>
    <xf numFmtId="0" fontId="6" fillId="0" borderId="38" xfId="0" applyFont="1" applyFill="1" applyBorder="1" applyAlignment="1">
      <alignment horizontal="center"/>
    </xf>
    <xf numFmtId="166" fontId="24" fillId="0" borderId="33" xfId="0" applyNumberFormat="1" applyFont="1" applyFill="1" applyBorder="1"/>
    <xf numFmtId="0" fontId="0" fillId="0" borderId="38" xfId="0" applyFont="1" applyFill="1" applyBorder="1" applyAlignment="1">
      <alignment horizontal="left" vertical="center"/>
    </xf>
    <xf numFmtId="166" fontId="0" fillId="0" borderId="33" xfId="0" applyNumberFormat="1" applyFont="1" applyFill="1" applyBorder="1"/>
    <xf numFmtId="0" fontId="13" fillId="0" borderId="30" xfId="0" applyFont="1" applyBorder="1"/>
    <xf numFmtId="164" fontId="13" fillId="0" borderId="31" xfId="0" applyNumberFormat="1" applyFont="1" applyBorder="1"/>
    <xf numFmtId="0" fontId="13" fillId="0" borderId="0" xfId="0" applyNumberFormat="1" applyFont="1" applyFill="1" applyAlignment="1">
      <alignment horizontal="right"/>
    </xf>
    <xf numFmtId="0" fontId="42" fillId="0" borderId="2" xfId="0" applyFont="1" applyFill="1" applyBorder="1" applyAlignment="1">
      <alignment horizontal="center" vertical="center"/>
    </xf>
    <xf numFmtId="0" fontId="42" fillId="0" borderId="6" xfId="0" applyNumberFormat="1" applyFont="1" applyFill="1" applyBorder="1" applyAlignment="1"/>
    <xf numFmtId="164" fontId="42" fillId="0" borderId="7" xfId="0" applyNumberFormat="1" applyFont="1" applyFill="1" applyBorder="1" applyAlignment="1"/>
    <xf numFmtId="164" fontId="42" fillId="0" borderId="3" xfId="0" applyNumberFormat="1" applyFont="1" applyFill="1" applyBorder="1" applyAlignment="1"/>
    <xf numFmtId="0" fontId="42" fillId="0" borderId="28" xfId="0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/>
    <xf numFmtId="164" fontId="13" fillId="0" borderId="35" xfId="0" applyNumberFormat="1" applyFont="1" applyFill="1" applyBorder="1" applyAlignment="1"/>
    <xf numFmtId="0" fontId="42" fillId="0" borderId="30" xfId="0" applyNumberFormat="1" applyFont="1" applyFill="1" applyBorder="1" applyAlignment="1"/>
    <xf numFmtId="164" fontId="42" fillId="0" borderId="35" xfId="0" applyNumberFormat="1" applyFont="1" applyFill="1" applyBorder="1" applyAlignment="1"/>
    <xf numFmtId="164" fontId="42" fillId="0" borderId="31" xfId="0" applyNumberFormat="1" applyFont="1" applyFill="1" applyBorder="1" applyAlignment="1"/>
    <xf numFmtId="0" fontId="13" fillId="0" borderId="35" xfId="0" applyFont="1" applyFill="1" applyBorder="1"/>
    <xf numFmtId="166" fontId="13" fillId="0" borderId="31" xfId="0" applyNumberFormat="1" applyFont="1" applyFill="1" applyBorder="1"/>
    <xf numFmtId="164" fontId="13" fillId="0" borderId="31" xfId="0" applyNumberFormat="1" applyFont="1" applyFill="1" applyBorder="1" applyAlignment="1"/>
    <xf numFmtId="0" fontId="42" fillId="0" borderId="38" xfId="0" applyNumberFormat="1" applyFont="1" applyFill="1" applyBorder="1" applyAlignment="1"/>
    <xf numFmtId="164" fontId="42" fillId="0" borderId="41" xfId="0" applyNumberFormat="1" applyFont="1" applyFill="1" applyBorder="1" applyAlignment="1"/>
    <xf numFmtId="164" fontId="42" fillId="0" borderId="30" xfId="0" applyNumberFormat="1" applyFont="1" applyFill="1" applyBorder="1" applyAlignment="1"/>
    <xf numFmtId="0" fontId="31" fillId="0" borderId="0" xfId="0" applyNumberFormat="1" applyFont="1" applyFill="1" applyBorder="1" applyAlignment="1">
      <alignment vertical="center"/>
    </xf>
    <xf numFmtId="0" fontId="13" fillId="0" borderId="35" xfId="0" applyFont="1" applyBorder="1"/>
    <xf numFmtId="0" fontId="42" fillId="3" borderId="30" xfId="0" applyNumberFormat="1" applyFont="1" applyFill="1" applyBorder="1" applyAlignment="1"/>
    <xf numFmtId="0" fontId="13" fillId="0" borderId="38" xfId="0" applyFont="1" applyBorder="1"/>
    <xf numFmtId="0" fontId="13" fillId="0" borderId="41" xfId="0" applyFont="1" applyBorder="1"/>
    <xf numFmtId="164" fontId="13" fillId="0" borderId="33" xfId="0" applyNumberFormat="1" applyFont="1" applyFill="1" applyBorder="1" applyAlignment="1"/>
    <xf numFmtId="164" fontId="42" fillId="0" borderId="33" xfId="0" applyNumberFormat="1" applyFont="1" applyFill="1" applyBorder="1" applyAlignment="1"/>
    <xf numFmtId="0" fontId="13" fillId="0" borderId="6" xfId="0" applyNumberFormat="1" applyFont="1" applyFill="1" applyBorder="1" applyAlignment="1"/>
    <xf numFmtId="164" fontId="13" fillId="0" borderId="6" xfId="0" applyNumberFormat="1" applyFont="1" applyFill="1" applyBorder="1" applyAlignment="1"/>
    <xf numFmtId="164" fontId="13" fillId="0" borderId="3" xfId="0" applyNumberFormat="1" applyFont="1" applyFill="1" applyBorder="1" applyAlignment="1"/>
    <xf numFmtId="0" fontId="13" fillId="0" borderId="38" xfId="0" applyNumberFormat="1" applyFont="1" applyFill="1" applyBorder="1" applyAlignment="1"/>
    <xf numFmtId="164" fontId="13" fillId="0" borderId="38" xfId="0" applyNumberFormat="1" applyFont="1" applyFill="1" applyBorder="1" applyAlignment="1"/>
    <xf numFmtId="164" fontId="42" fillId="0" borderId="38" xfId="0" applyNumberFormat="1" applyFont="1" applyFill="1" applyBorder="1" applyAlignment="1"/>
    <xf numFmtId="164" fontId="0" fillId="0" borderId="0" xfId="0" applyNumberFormat="1"/>
    <xf numFmtId="0" fontId="42" fillId="2" borderId="38" xfId="0" applyFont="1" applyFill="1" applyBorder="1" applyAlignment="1">
      <alignment vertical="center"/>
    </xf>
    <xf numFmtId="164" fontId="42" fillId="2" borderId="38" xfId="0" applyNumberFormat="1" applyFont="1" applyFill="1" applyBorder="1" applyAlignment="1">
      <alignment horizontal="right" vertical="center"/>
    </xf>
    <xf numFmtId="164" fontId="42" fillId="2" borderId="33" xfId="0" applyNumberFormat="1" applyFont="1" applyFill="1" applyBorder="1" applyAlignment="1">
      <alignment horizontal="right" vertical="center"/>
    </xf>
    <xf numFmtId="0" fontId="42" fillId="0" borderId="65" xfId="0" applyFont="1" applyFill="1" applyBorder="1" applyAlignment="1">
      <alignment vertical="center"/>
    </xf>
    <xf numFmtId="164" fontId="42" fillId="0" borderId="20" xfId="0" applyNumberFormat="1" applyFont="1" applyFill="1" applyBorder="1" applyAlignment="1">
      <alignment horizontal="right" vertical="center"/>
    </xf>
    <xf numFmtId="164" fontId="42" fillId="0" borderId="15" xfId="0" applyNumberFormat="1" applyFont="1" applyFill="1" applyBorder="1" applyAlignment="1">
      <alignment horizontal="right" vertical="center"/>
    </xf>
    <xf numFmtId="0" fontId="42" fillId="0" borderId="30" xfId="0" applyFont="1" applyFill="1" applyBorder="1" applyAlignment="1">
      <alignment vertical="center"/>
    </xf>
    <xf numFmtId="164" fontId="42" fillId="0" borderId="35" xfId="0" applyNumberFormat="1" applyFont="1" applyFill="1" applyBorder="1" applyAlignment="1">
      <alignment horizontal="right" vertical="center"/>
    </xf>
    <xf numFmtId="164" fontId="42" fillId="0" borderId="31" xfId="0" applyNumberFormat="1" applyFont="1" applyFill="1" applyBorder="1" applyAlignment="1">
      <alignment horizontal="right" vertical="center"/>
    </xf>
    <xf numFmtId="0" fontId="42" fillId="2" borderId="30" xfId="0" applyFont="1" applyFill="1" applyBorder="1" applyAlignment="1">
      <alignment vertical="center"/>
    </xf>
    <xf numFmtId="164" fontId="42" fillId="2" borderId="35" xfId="0" applyNumberFormat="1" applyFont="1" applyFill="1" applyBorder="1" applyAlignment="1">
      <alignment horizontal="right" vertical="center"/>
    </xf>
    <xf numFmtId="164" fontId="42" fillId="2" borderId="31" xfId="0" applyNumberFormat="1" applyFont="1" applyFill="1" applyBorder="1" applyAlignment="1">
      <alignment horizontal="right" vertical="center"/>
    </xf>
    <xf numFmtId="0" fontId="43" fillId="0" borderId="30" xfId="0" applyFont="1" applyFill="1" applyBorder="1" applyAlignment="1">
      <alignment vertical="center"/>
    </xf>
    <xf numFmtId="164" fontId="43" fillId="0" borderId="35" xfId="0" applyNumberFormat="1" applyFont="1" applyFill="1" applyBorder="1" applyAlignment="1">
      <alignment horizontal="right" vertical="center"/>
    </xf>
    <xf numFmtId="164" fontId="43" fillId="0" borderId="31" xfId="0" applyNumberFormat="1" applyFont="1" applyFill="1" applyBorder="1" applyAlignment="1">
      <alignment horizontal="right" vertical="center"/>
    </xf>
    <xf numFmtId="0" fontId="43" fillId="0" borderId="38" xfId="0" applyFont="1" applyFill="1" applyBorder="1" applyAlignment="1">
      <alignment vertical="center"/>
    </xf>
    <xf numFmtId="164" fontId="43" fillId="0" borderId="41" xfId="0" applyNumberFormat="1" applyFont="1" applyFill="1" applyBorder="1" applyAlignment="1">
      <alignment horizontal="right" vertical="center"/>
    </xf>
    <xf numFmtId="164" fontId="13" fillId="0" borderId="7" xfId="0" applyNumberFormat="1" applyFont="1" applyFill="1" applyBorder="1"/>
    <xf numFmtId="164" fontId="43" fillId="0" borderId="33" xfId="0" applyNumberFormat="1" applyFont="1" applyFill="1" applyBorder="1" applyAlignment="1">
      <alignment horizontal="right" vertical="center"/>
    </xf>
    <xf numFmtId="164" fontId="42" fillId="0" borderId="33" xfId="0" applyNumberFormat="1" applyFont="1" applyFill="1" applyBorder="1" applyAlignment="1">
      <alignment horizontal="right" vertical="center"/>
    </xf>
    <xf numFmtId="164" fontId="42" fillId="0" borderId="6" xfId="0" applyNumberFormat="1" applyFont="1" applyFill="1" applyBorder="1" applyAlignment="1"/>
    <xf numFmtId="164" fontId="13" fillId="0" borderId="38" xfId="0" applyNumberFormat="1" applyFont="1" applyBorder="1"/>
    <xf numFmtId="164" fontId="13" fillId="0" borderId="33" xfId="0" applyNumberFormat="1" applyFont="1" applyBorder="1"/>
    <xf numFmtId="164" fontId="13" fillId="0" borderId="30" xfId="0" applyNumberFormat="1" applyFont="1" applyBorder="1"/>
    <xf numFmtId="0" fontId="18" fillId="0" borderId="6" xfId="0" applyNumberFormat="1" applyFont="1" applyFill="1" applyBorder="1"/>
    <xf numFmtId="164" fontId="13" fillId="0" borderId="6" xfId="0" applyNumberFormat="1" applyFont="1" applyFill="1" applyBorder="1" applyAlignment="1">
      <alignment horizontal="right" vertical="center"/>
    </xf>
    <xf numFmtId="166" fontId="13" fillId="0" borderId="3" xfId="0" applyNumberFormat="1" applyFont="1" applyFill="1" applyBorder="1" applyAlignment="1">
      <alignment horizontal="right" vertical="center"/>
    </xf>
    <xf numFmtId="164" fontId="13" fillId="0" borderId="41" xfId="0" applyNumberFormat="1" applyFont="1" applyBorder="1"/>
    <xf numFmtId="0" fontId="42" fillId="0" borderId="38" xfId="0" applyFont="1" applyFill="1" applyBorder="1" applyAlignment="1">
      <alignment vertical="center"/>
    </xf>
    <xf numFmtId="164" fontId="42" fillId="0" borderId="41" xfId="0" applyNumberFormat="1" applyFont="1" applyFill="1" applyBorder="1" applyAlignment="1">
      <alignment horizontal="right" vertical="center"/>
    </xf>
    <xf numFmtId="164" fontId="42" fillId="0" borderId="30" xfId="0" applyNumberFormat="1" applyFont="1" applyFill="1" applyBorder="1" applyAlignment="1">
      <alignment horizontal="right" vertical="center"/>
    </xf>
    <xf numFmtId="164" fontId="43" fillId="0" borderId="30" xfId="0" applyNumberFormat="1" applyFont="1" applyFill="1" applyBorder="1" applyAlignment="1">
      <alignment horizontal="right" vertical="center"/>
    </xf>
    <xf numFmtId="0" fontId="17" fillId="0" borderId="0" xfId="0" applyNumberFormat="1" applyFont="1" applyFill="1" applyAlignment="1">
      <alignment horizontal="right" vertical="center"/>
    </xf>
    <xf numFmtId="164" fontId="42" fillId="2" borderId="30" xfId="0" applyNumberFormat="1" applyFont="1" applyFill="1" applyBorder="1" applyAlignment="1">
      <alignment horizontal="right" vertical="center"/>
    </xf>
    <xf numFmtId="0" fontId="42" fillId="0" borderId="6" xfId="0" applyFont="1" applyFill="1" applyBorder="1" applyAlignment="1">
      <alignment vertical="center"/>
    </xf>
    <xf numFmtId="164" fontId="42" fillId="0" borderId="6" xfId="0" applyNumberFormat="1" applyFont="1" applyFill="1" applyBorder="1" applyAlignment="1">
      <alignment horizontal="right" vertical="center"/>
    </xf>
    <xf numFmtId="164" fontId="42" fillId="0" borderId="3" xfId="0" applyNumberFormat="1" applyFont="1" applyFill="1" applyBorder="1" applyAlignment="1">
      <alignment horizontal="right" vertical="center"/>
    </xf>
    <xf numFmtId="164" fontId="13" fillId="0" borderId="35" xfId="0" applyNumberFormat="1" applyFont="1" applyFill="1" applyBorder="1"/>
    <xf numFmtId="0" fontId="8" fillId="0" borderId="14" xfId="0" applyFont="1" applyFill="1" applyBorder="1"/>
    <xf numFmtId="0" fontId="6" fillId="0" borderId="18" xfId="0" applyFont="1" applyFill="1" applyBorder="1" applyAlignment="1">
      <alignment horizontal="center"/>
    </xf>
    <xf numFmtId="166" fontId="24" fillId="0" borderId="15" xfId="0" applyNumberFormat="1" applyFont="1" applyFill="1" applyBorder="1"/>
    <xf numFmtId="0" fontId="0" fillId="0" borderId="53" xfId="0" applyBorder="1"/>
    <xf numFmtId="0" fontId="13" fillId="0" borderId="2" xfId="0" applyFont="1" applyBorder="1"/>
    <xf numFmtId="164" fontId="13" fillId="0" borderId="6" xfId="0" applyNumberFormat="1" applyFont="1" applyBorder="1"/>
    <xf numFmtId="164" fontId="13" fillId="0" borderId="3" xfId="0" applyNumberFormat="1" applyFont="1" applyBorder="1"/>
    <xf numFmtId="0" fontId="13" fillId="0" borderId="37" xfId="0" applyNumberFormat="1" applyFont="1" applyFill="1" applyBorder="1" applyAlignment="1"/>
    <xf numFmtId="0" fontId="13" fillId="0" borderId="37" xfId="0" applyFont="1" applyBorder="1"/>
    <xf numFmtId="0" fontId="13" fillId="0" borderId="14" xfId="0" applyFont="1" applyBorder="1"/>
    <xf numFmtId="164" fontId="13" fillId="0" borderId="18" xfId="0" applyNumberFormat="1" applyFont="1" applyBorder="1"/>
    <xf numFmtId="164" fontId="13" fillId="0" borderId="15" xfId="0" applyNumberFormat="1" applyFont="1" applyBorder="1"/>
    <xf numFmtId="0" fontId="8" fillId="0" borderId="22" xfId="0" applyFont="1" applyFill="1" applyBorder="1"/>
    <xf numFmtId="164" fontId="19" fillId="0" borderId="11" xfId="0" applyNumberFormat="1" applyFont="1" applyBorder="1"/>
    <xf numFmtId="164" fontId="19" fillId="0" borderId="12" xfId="0" applyNumberFormat="1" applyFont="1" applyBorder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5" fillId="0" borderId="0" xfId="0" applyFont="1" applyAlignment="1"/>
    <xf numFmtId="0" fontId="6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6" fillId="4" borderId="79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/>
    </xf>
    <xf numFmtId="0" fontId="37" fillId="4" borderId="74" xfId="0" applyFont="1" applyFill="1" applyBorder="1" applyAlignment="1">
      <alignment horizontal="center" vertical="center"/>
    </xf>
    <xf numFmtId="0" fontId="44" fillId="4" borderId="9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167" fontId="6" fillId="0" borderId="72" xfId="0" applyNumberFormat="1" applyFont="1" applyBorder="1" applyAlignment="1">
      <alignment horizontal="center" vertical="center"/>
    </xf>
    <xf numFmtId="167" fontId="6" fillId="0" borderId="76" xfId="0" applyNumberFormat="1" applyFont="1" applyBorder="1" applyAlignment="1">
      <alignment horizontal="center" vertical="center"/>
    </xf>
    <xf numFmtId="0" fontId="37" fillId="4" borderId="69" xfId="0" applyFont="1" applyFill="1" applyBorder="1" applyAlignment="1">
      <alignment horizontal="center" vertical="center"/>
    </xf>
    <xf numFmtId="0" fontId="37" fillId="4" borderId="53" xfId="0" applyFont="1" applyFill="1" applyBorder="1" applyAlignment="1">
      <alignment horizontal="center" vertical="center"/>
    </xf>
    <xf numFmtId="0" fontId="44" fillId="4" borderId="75" xfId="0" applyFont="1" applyFill="1" applyBorder="1" applyAlignment="1">
      <alignment horizontal="center" vertical="center"/>
    </xf>
    <xf numFmtId="167" fontId="6" fillId="0" borderId="46" xfId="0" applyNumberFormat="1" applyFont="1" applyBorder="1" applyAlignment="1">
      <alignment horizontal="center" vertical="center"/>
    </xf>
    <xf numFmtId="167" fontId="6" fillId="0" borderId="46" xfId="0" applyNumberFormat="1" applyFont="1" applyBorder="1" applyAlignment="1">
      <alignment vertical="center"/>
    </xf>
    <xf numFmtId="0" fontId="6" fillId="4" borderId="69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46" fillId="0" borderId="71" xfId="0" applyFont="1" applyBorder="1" applyAlignment="1">
      <alignment horizontal="center"/>
    </xf>
    <xf numFmtId="0" fontId="46" fillId="0" borderId="53" xfId="0" applyFont="1" applyBorder="1" applyAlignment="1">
      <alignment horizontal="center"/>
    </xf>
    <xf numFmtId="0" fontId="46" fillId="0" borderId="80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167" fontId="6" fillId="0" borderId="23" xfId="0" applyNumberFormat="1" applyFont="1" applyBorder="1" applyAlignment="1">
      <alignment horizontal="center" vertical="center"/>
    </xf>
    <xf numFmtId="167" fontId="6" fillId="0" borderId="23" xfId="0" applyNumberFormat="1" applyFont="1" applyBorder="1" applyAlignment="1">
      <alignment vertical="center"/>
    </xf>
    <xf numFmtId="167" fontId="6" fillId="0" borderId="26" xfId="0" applyNumberFormat="1" applyFont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44" fillId="4" borderId="11" xfId="0" applyFont="1" applyFill="1" applyBorder="1" applyAlignment="1">
      <alignment horizontal="center" vertical="center"/>
    </xf>
    <xf numFmtId="0" fontId="46" fillId="0" borderId="22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" fillId="0" borderId="30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center"/>
    </xf>
    <xf numFmtId="0" fontId="4" fillId="4" borderId="32" xfId="0" applyFont="1" applyFill="1" applyBorder="1" applyAlignment="1">
      <alignment horizontal="right" vertical="center"/>
    </xf>
    <xf numFmtId="0" fontId="4" fillId="4" borderId="30" xfId="0" applyFont="1" applyFill="1" applyBorder="1" applyAlignment="1">
      <alignment horizontal="right" vertical="center"/>
    </xf>
    <xf numFmtId="0" fontId="14" fillId="4" borderId="32" xfId="0" applyFont="1" applyFill="1" applyBorder="1" applyAlignment="1">
      <alignment horizontal="right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right" vertical="center"/>
    </xf>
    <xf numFmtId="0" fontId="4" fillId="4" borderId="39" xfId="0" applyFont="1" applyFill="1" applyBorder="1" applyAlignment="1">
      <alignment horizontal="right" vertical="center"/>
    </xf>
    <xf numFmtId="0" fontId="4" fillId="4" borderId="38" xfId="0" applyFont="1" applyFill="1" applyBorder="1" applyAlignment="1">
      <alignment horizontal="right" vertical="center"/>
    </xf>
    <xf numFmtId="0" fontId="14" fillId="4" borderId="39" xfId="0" applyFont="1" applyFill="1" applyBorder="1" applyAlignment="1">
      <alignment horizontal="right" vertical="center"/>
    </xf>
    <xf numFmtId="1" fontId="4" fillId="0" borderId="38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" fontId="4" fillId="0" borderId="30" xfId="0" applyNumberFormat="1" applyFont="1" applyFill="1" applyBorder="1" applyAlignment="1">
      <alignment horizontal="right" vertical="center"/>
    </xf>
    <xf numFmtId="1" fontId="4" fillId="0" borderId="35" xfId="0" applyNumberFormat="1" applyFont="1" applyFill="1" applyBorder="1" applyAlignment="1">
      <alignment horizontal="right" vertical="center"/>
    </xf>
    <xf numFmtId="0" fontId="46" fillId="0" borderId="37" xfId="0" applyFont="1" applyBorder="1" applyAlignment="1">
      <alignment horizontal="right"/>
    </xf>
    <xf numFmtId="0" fontId="46" fillId="0" borderId="33" xfId="0" applyFont="1" applyBorder="1" applyAlignment="1">
      <alignment horizontal="right"/>
    </xf>
    <xf numFmtId="0" fontId="46" fillId="3" borderId="37" xfId="0" applyFont="1" applyFill="1" applyBorder="1" applyAlignment="1">
      <alignment horizontal="right"/>
    </xf>
    <xf numFmtId="0" fontId="46" fillId="3" borderId="33" xfId="0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right"/>
    </xf>
    <xf numFmtId="1" fontId="6" fillId="0" borderId="23" xfId="0" applyNumberFormat="1" applyFont="1" applyFill="1" applyBorder="1"/>
    <xf numFmtId="167" fontId="6" fillId="0" borderId="23" xfId="0" applyNumberFormat="1" applyFont="1" applyFill="1" applyBorder="1"/>
    <xf numFmtId="164" fontId="4" fillId="0" borderId="12" xfId="0" applyNumberFormat="1" applyFont="1" applyFill="1" applyBorder="1"/>
    <xf numFmtId="164" fontId="4" fillId="4" borderId="11" xfId="0" applyNumberFormat="1" applyFont="1" applyFill="1" applyBorder="1"/>
    <xf numFmtId="164" fontId="4" fillId="4" borderId="23" xfId="0" applyNumberFormat="1" applyFont="1" applyFill="1" applyBorder="1"/>
    <xf numFmtId="164" fontId="14" fillId="4" borderId="11" xfId="0" applyNumberFormat="1" applyFont="1" applyFill="1" applyBorder="1"/>
    <xf numFmtId="0" fontId="46" fillId="0" borderId="22" xfId="0" applyFont="1" applyBorder="1" applyAlignment="1">
      <alignment horizontal="right"/>
    </xf>
    <xf numFmtId="164" fontId="46" fillId="0" borderId="54" xfId="0" applyNumberFormat="1" applyFont="1" applyBorder="1" applyAlignment="1">
      <alignment horizontal="right"/>
    </xf>
    <xf numFmtId="0" fontId="4" fillId="4" borderId="0" xfId="0" applyFont="1" applyFill="1"/>
    <xf numFmtId="0" fontId="4" fillId="4" borderId="53" xfId="0" applyFont="1" applyFill="1" applyBorder="1"/>
    <xf numFmtId="0" fontId="14" fillId="4" borderId="0" xfId="0" applyFont="1" applyFill="1"/>
    <xf numFmtId="0" fontId="0" fillId="0" borderId="0" xfId="0" applyAlignment="1">
      <alignment horizontal="right"/>
    </xf>
    <xf numFmtId="0" fontId="24" fillId="0" borderId="0" xfId="0" applyFont="1"/>
    <xf numFmtId="0" fontId="0" fillId="4" borderId="0" xfId="0" applyFill="1"/>
    <xf numFmtId="0" fontId="0" fillId="4" borderId="53" xfId="0" applyFill="1" applyBorder="1"/>
    <xf numFmtId="0" fontId="48" fillId="4" borderId="0" xfId="0" applyFont="1" applyFill="1"/>
    <xf numFmtId="0" fontId="6" fillId="0" borderId="65" xfId="0" applyFont="1" applyBorder="1" applyAlignment="1">
      <alignment horizontal="center" vertical="center" wrapText="1"/>
    </xf>
    <xf numFmtId="0" fontId="48" fillId="0" borderId="0" xfId="0" applyFont="1"/>
    <xf numFmtId="0" fontId="4" fillId="0" borderId="0" xfId="0" applyFont="1" applyAlignment="1">
      <alignment horizontal="right" wrapText="1"/>
    </xf>
    <xf numFmtId="0" fontId="49" fillId="0" borderId="0" xfId="0" applyFont="1" applyAlignment="1"/>
    <xf numFmtId="0" fontId="50" fillId="0" borderId="0" xfId="0" applyFont="1"/>
    <xf numFmtId="0" fontId="4" fillId="0" borderId="0" xfId="0" applyFont="1" applyAlignment="1"/>
    <xf numFmtId="0" fontId="37" fillId="0" borderId="53" xfId="0" applyFont="1" applyBorder="1" applyAlignment="1">
      <alignment horizontal="center" vertical="center" wrapText="1"/>
    </xf>
    <xf numFmtId="164" fontId="51" fillId="0" borderId="38" xfId="0" applyNumberFormat="1" applyFont="1" applyFill="1" applyBorder="1"/>
    <xf numFmtId="0" fontId="50" fillId="0" borderId="0" xfId="0" applyFont="1" applyFill="1"/>
    <xf numFmtId="0" fontId="4" fillId="0" borderId="0" xfId="0" applyFont="1" applyFill="1" applyAlignment="1"/>
    <xf numFmtId="0" fontId="6" fillId="0" borderId="66" xfId="0" applyFont="1" applyFill="1" applyBorder="1" applyAlignment="1">
      <alignment horizont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wrapText="1"/>
    </xf>
    <xf numFmtId="0" fontId="6" fillId="0" borderId="70" xfId="0" applyFont="1" applyFill="1" applyBorder="1" applyAlignment="1">
      <alignment horizontal="center" vertical="center" wrapText="1"/>
    </xf>
    <xf numFmtId="0" fontId="21" fillId="0" borderId="33" xfId="0" applyFont="1" applyFill="1" applyBorder="1"/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15" xfId="0" applyBorder="1"/>
    <xf numFmtId="0" fontId="6" fillId="0" borderId="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7" fillId="0" borderId="73" xfId="0" applyNumberFormat="1" applyFont="1" applyFill="1" applyBorder="1" applyAlignment="1">
      <alignment horizontal="center" vertical="center" wrapText="1"/>
    </xf>
    <xf numFmtId="0" fontId="37" fillId="0" borderId="50" xfId="0" applyNumberFormat="1" applyFont="1" applyFill="1" applyBorder="1" applyAlignment="1">
      <alignment horizontal="center" vertical="center" wrapText="1"/>
    </xf>
    <xf numFmtId="0" fontId="38" fillId="0" borderId="74" xfId="0" applyFont="1" applyFill="1" applyBorder="1" applyAlignment="1">
      <alignment horizontal="left" vertical="center" wrapText="1"/>
    </xf>
    <xf numFmtId="0" fontId="38" fillId="0" borderId="65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wrapText="1"/>
    </xf>
    <xf numFmtId="167" fontId="6" fillId="0" borderId="8" xfId="0" applyNumberFormat="1" applyFont="1" applyBorder="1" applyAlignment="1">
      <alignment horizontal="center" vertical="center"/>
    </xf>
    <xf numFmtId="167" fontId="6" fillId="0" borderId="78" xfId="0" applyNumberFormat="1" applyFont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46" fillId="0" borderId="79" xfId="0" applyFont="1" applyBorder="1" applyAlignment="1">
      <alignment horizontal="center"/>
    </xf>
    <xf numFmtId="0" fontId="46" fillId="0" borderId="67" xfId="0" applyFont="1" applyBorder="1" applyAlignment="1">
      <alignment horizontal="center"/>
    </xf>
    <xf numFmtId="0" fontId="46" fillId="0" borderId="9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49" fontId="6" fillId="0" borderId="73" xfId="0" applyNumberFormat="1" applyFont="1" applyBorder="1" applyAlignment="1">
      <alignment horizontal="center" vertical="center" wrapText="1"/>
    </xf>
    <xf numFmtId="49" fontId="6" fillId="0" borderId="7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6" fillId="0" borderId="71" xfId="0" applyNumberFormat="1" applyFont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52" fillId="0" borderId="79" xfId="0" applyFont="1" applyBorder="1" applyAlignment="1">
      <alignment horizontal="center" vertical="center"/>
    </xf>
    <xf numFmtId="0" fontId="52" fillId="0" borderId="67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/>
    <xf numFmtId="0" fontId="8" fillId="0" borderId="67" xfId="0" applyFont="1" applyFill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75" xfId="0" applyFont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2" xfId="0" applyFont="1" applyFill="1" applyBorder="1"/>
    <xf numFmtId="0" fontId="8" fillId="0" borderId="21" xfId="0" applyFont="1" applyFill="1" applyBorder="1"/>
    <xf numFmtId="0" fontId="8" fillId="0" borderId="63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vertical="center"/>
    </xf>
    <xf numFmtId="0" fontId="52" fillId="0" borderId="23" xfId="0" applyFont="1" applyBorder="1" applyAlignment="1">
      <alignment horizontal="center" vertical="center"/>
    </xf>
    <xf numFmtId="0" fontId="13" fillId="0" borderId="52" xfId="0" applyFont="1" applyFill="1" applyBorder="1" applyAlignment="1">
      <alignment horizontal="center"/>
    </xf>
    <xf numFmtId="0" fontId="13" fillId="0" borderId="57" xfId="0" applyNumberFormat="1" applyFont="1" applyFill="1" applyBorder="1" applyAlignment="1" applyProtection="1">
      <alignment wrapText="1"/>
      <protection locked="0"/>
    </xf>
    <xf numFmtId="1" fontId="13" fillId="0" borderId="32" xfId="0" applyNumberFormat="1" applyFont="1" applyFill="1" applyBorder="1" applyAlignment="1" applyProtection="1">
      <alignment horizontal="right"/>
      <protection locked="0"/>
    </xf>
    <xf numFmtId="1" fontId="13" fillId="0" borderId="28" xfId="0" applyNumberFormat="1" applyFont="1" applyFill="1" applyBorder="1" applyAlignment="1" applyProtection="1">
      <alignment horizontal="right"/>
      <protection locked="0"/>
    </xf>
    <xf numFmtId="164" fontId="13" fillId="0" borderId="30" xfId="0" applyNumberFormat="1" applyFont="1" applyFill="1" applyBorder="1" applyAlignment="1" applyProtection="1">
      <alignment horizontal="right"/>
      <protection locked="0"/>
    </xf>
    <xf numFmtId="165" fontId="55" fillId="0" borderId="31" xfId="0" applyNumberFormat="1" applyFont="1" applyFill="1" applyBorder="1"/>
    <xf numFmtId="2" fontId="55" fillId="0" borderId="35" xfId="0" applyNumberFormat="1" applyFont="1" applyFill="1" applyBorder="1"/>
    <xf numFmtId="0" fontId="13" fillId="0" borderId="28" xfId="0" applyFont="1" applyFill="1" applyBorder="1"/>
    <xf numFmtId="164" fontId="13" fillId="0" borderId="30" xfId="0" applyNumberFormat="1" applyFont="1" applyFill="1" applyBorder="1"/>
    <xf numFmtId="2" fontId="55" fillId="0" borderId="31" xfId="0" applyNumberFormat="1" applyFont="1" applyFill="1" applyBorder="1"/>
    <xf numFmtId="1" fontId="13" fillId="0" borderId="34" xfId="0" applyNumberFormat="1" applyFont="1" applyFill="1" applyBorder="1"/>
    <xf numFmtId="164" fontId="55" fillId="0" borderId="35" xfId="0" applyNumberFormat="1" applyFont="1" applyFill="1" applyBorder="1"/>
    <xf numFmtId="0" fontId="55" fillId="0" borderId="34" xfId="0" applyFont="1" applyFill="1" applyBorder="1"/>
    <xf numFmtId="0" fontId="55" fillId="0" borderId="30" xfId="0" applyFont="1" applyFill="1" applyBorder="1"/>
    <xf numFmtId="0" fontId="55" fillId="0" borderId="31" xfId="0" applyFont="1" applyFill="1" applyBorder="1"/>
    <xf numFmtId="0" fontId="51" fillId="0" borderId="28" xfId="0" applyFont="1" applyFill="1" applyBorder="1"/>
    <xf numFmtId="0" fontId="51" fillId="0" borderId="30" xfId="0" applyFont="1" applyFill="1" applyBorder="1"/>
    <xf numFmtId="0" fontId="13" fillId="0" borderId="27" xfId="0" applyFont="1" applyFill="1" applyBorder="1" applyAlignment="1">
      <alignment horizontal="center"/>
    </xf>
    <xf numFmtId="0" fontId="13" fillId="0" borderId="58" xfId="0" applyNumberFormat="1" applyFont="1" applyFill="1" applyBorder="1" applyAlignment="1" applyProtection="1">
      <alignment horizontal="justify" wrapText="1"/>
    </xf>
    <xf numFmtId="1" fontId="13" fillId="0" borderId="39" xfId="0" applyNumberFormat="1" applyFont="1" applyFill="1" applyBorder="1" applyAlignment="1" applyProtection="1">
      <alignment horizontal="right"/>
      <protection locked="0"/>
    </xf>
    <xf numFmtId="1" fontId="13" fillId="0" borderId="37" xfId="0" applyNumberFormat="1" applyFont="1" applyFill="1" applyBorder="1" applyAlignment="1" applyProtection="1">
      <alignment horizontal="right"/>
      <protection locked="0"/>
    </xf>
    <xf numFmtId="164" fontId="13" fillId="0" borderId="38" xfId="0" applyNumberFormat="1" applyFont="1" applyFill="1" applyBorder="1" applyAlignment="1" applyProtection="1">
      <alignment horizontal="right"/>
      <protection locked="0"/>
    </xf>
    <xf numFmtId="165" fontId="55" fillId="0" borderId="33" xfId="0" applyNumberFormat="1" applyFont="1" applyFill="1" applyBorder="1"/>
    <xf numFmtId="2" fontId="55" fillId="0" borderId="41" xfId="0" applyNumberFormat="1" applyFont="1" applyFill="1" applyBorder="1"/>
    <xf numFmtId="1" fontId="13" fillId="0" borderId="40" xfId="0" applyNumberFormat="1" applyFont="1" applyFill="1" applyBorder="1"/>
    <xf numFmtId="164" fontId="13" fillId="0" borderId="38" xfId="0" applyNumberFormat="1" applyFont="1" applyFill="1" applyBorder="1"/>
    <xf numFmtId="164" fontId="55" fillId="0" borderId="41" xfId="0" applyNumberFormat="1" applyFont="1" applyFill="1" applyBorder="1"/>
    <xf numFmtId="164" fontId="13" fillId="0" borderId="33" xfId="0" applyNumberFormat="1" applyFont="1" applyFill="1" applyBorder="1"/>
    <xf numFmtId="0" fontId="55" fillId="0" borderId="40" xfId="0" applyFont="1" applyFill="1" applyBorder="1"/>
    <xf numFmtId="0" fontId="55" fillId="0" borderId="38" xfId="0" applyFont="1" applyFill="1" applyBorder="1"/>
    <xf numFmtId="0" fontId="55" fillId="0" borderId="33" xfId="0" applyFont="1" applyFill="1" applyBorder="1"/>
    <xf numFmtId="164" fontId="51" fillId="0" borderId="37" xfId="0" applyNumberFormat="1" applyFont="1" applyFill="1" applyBorder="1"/>
    <xf numFmtId="0" fontId="51" fillId="0" borderId="38" xfId="0" applyFont="1" applyFill="1" applyBorder="1"/>
    <xf numFmtId="0" fontId="13" fillId="0" borderId="58" xfId="0" applyNumberFormat="1" applyFont="1" applyFill="1" applyBorder="1" applyAlignment="1" applyProtection="1">
      <alignment wrapText="1"/>
      <protection locked="0"/>
    </xf>
    <xf numFmtId="2" fontId="55" fillId="0" borderId="33" xfId="0" applyNumberFormat="1" applyFont="1" applyFill="1" applyBorder="1"/>
    <xf numFmtId="0" fontId="51" fillId="0" borderId="37" xfId="0" applyFont="1" applyFill="1" applyBorder="1"/>
    <xf numFmtId="1" fontId="13" fillId="0" borderId="40" xfId="0" applyNumberFormat="1" applyFont="1" applyFill="1" applyBorder="1" applyAlignment="1" applyProtection="1">
      <alignment horizontal="right"/>
      <protection locked="0"/>
    </xf>
    <xf numFmtId="2" fontId="13" fillId="0" borderId="41" xfId="0" applyNumberFormat="1" applyFont="1" applyFill="1" applyBorder="1"/>
    <xf numFmtId="2" fontId="13" fillId="0" borderId="33" xfId="0" applyNumberFormat="1" applyFont="1" applyFill="1" applyBorder="1"/>
    <xf numFmtId="164" fontId="13" fillId="0" borderId="41" xfId="0" applyNumberFormat="1" applyFont="1" applyFill="1" applyBorder="1"/>
    <xf numFmtId="164" fontId="25" fillId="0" borderId="38" xfId="0" applyNumberFormat="1" applyFont="1" applyFill="1" applyBorder="1" applyAlignment="1" applyProtection="1">
      <alignment horizontal="right"/>
      <protection locked="0"/>
    </xf>
    <xf numFmtId="0" fontId="55" fillId="0" borderId="41" xfId="0" applyFont="1" applyFill="1" applyBorder="1"/>
    <xf numFmtId="1" fontId="13" fillId="0" borderId="37" xfId="0" applyNumberFormat="1" applyFont="1" applyFill="1" applyBorder="1"/>
    <xf numFmtId="164" fontId="55" fillId="0" borderId="33" xfId="0" applyNumberFormat="1" applyFont="1" applyFill="1" applyBorder="1"/>
    <xf numFmtId="165" fontId="55" fillId="0" borderId="41" xfId="0" applyNumberFormat="1" applyFont="1" applyFill="1" applyBorder="1"/>
    <xf numFmtId="0" fontId="13" fillId="0" borderId="59" xfId="0" applyFont="1" applyFill="1" applyBorder="1" applyAlignment="1">
      <alignment horizontal="center"/>
    </xf>
    <xf numFmtId="0" fontId="13" fillId="0" borderId="60" xfId="0" applyNumberFormat="1" applyFont="1" applyFill="1" applyBorder="1" applyAlignment="1" applyProtection="1">
      <alignment wrapText="1"/>
      <protection locked="0"/>
    </xf>
    <xf numFmtId="1" fontId="13" fillId="0" borderId="44" xfId="0" applyNumberFormat="1" applyFont="1" applyFill="1" applyBorder="1" applyAlignment="1" applyProtection="1">
      <alignment horizontal="right"/>
      <protection locked="0"/>
    </xf>
    <xf numFmtId="1" fontId="13" fillId="0" borderId="49" xfId="0" applyNumberFormat="1" applyFont="1" applyFill="1" applyBorder="1" applyAlignment="1" applyProtection="1">
      <alignment horizontal="right"/>
      <protection locked="0"/>
    </xf>
    <xf numFmtId="164" fontId="13" fillId="0" borderId="46" xfId="0" applyNumberFormat="1" applyFont="1" applyFill="1" applyBorder="1" applyAlignment="1" applyProtection="1">
      <alignment horizontal="right"/>
      <protection locked="0"/>
    </xf>
    <xf numFmtId="165" fontId="55" fillId="0" borderId="43" xfId="0" applyNumberFormat="1" applyFont="1" applyFill="1" applyBorder="1"/>
    <xf numFmtId="0" fontId="55" fillId="0" borderId="47" xfId="0" applyFont="1" applyFill="1" applyBorder="1"/>
    <xf numFmtId="0" fontId="13" fillId="0" borderId="14" xfId="0" applyFont="1" applyFill="1" applyBorder="1"/>
    <xf numFmtId="0" fontId="13" fillId="0" borderId="18" xfId="0" applyFont="1" applyFill="1" applyBorder="1"/>
    <xf numFmtId="0" fontId="55" fillId="0" borderId="15" xfId="0" applyFont="1" applyFill="1" applyBorder="1"/>
    <xf numFmtId="1" fontId="13" fillId="0" borderId="45" xfId="0" applyNumberFormat="1" applyFont="1" applyFill="1" applyBorder="1" applyAlignment="1" applyProtection="1">
      <alignment horizontal="right"/>
      <protection locked="0"/>
    </xf>
    <xf numFmtId="165" fontId="55" fillId="0" borderId="47" xfId="0" applyNumberFormat="1" applyFont="1" applyFill="1" applyBorder="1"/>
    <xf numFmtId="1" fontId="13" fillId="0" borderId="49" xfId="0" applyNumberFormat="1" applyFont="1" applyFill="1" applyBorder="1"/>
    <xf numFmtId="164" fontId="13" fillId="0" borderId="46" xfId="0" applyNumberFormat="1" applyFont="1" applyFill="1" applyBorder="1"/>
    <xf numFmtId="164" fontId="55" fillId="0" borderId="43" xfId="0" applyNumberFormat="1" applyFont="1" applyFill="1" applyBorder="1"/>
    <xf numFmtId="0" fontId="55" fillId="0" borderId="45" xfId="0" applyFont="1" applyFill="1" applyBorder="1"/>
    <xf numFmtId="0" fontId="55" fillId="0" borderId="46" xfId="0" applyFont="1" applyFill="1" applyBorder="1"/>
    <xf numFmtId="0" fontId="55" fillId="0" borderId="43" xfId="0" applyFont="1" applyFill="1" applyBorder="1"/>
    <xf numFmtId="0" fontId="8" fillId="0" borderId="54" xfId="0" applyFont="1" applyFill="1" applyBorder="1"/>
    <xf numFmtId="0" fontId="8" fillId="0" borderId="11" xfId="0" applyFont="1" applyFill="1" applyBorder="1"/>
    <xf numFmtId="1" fontId="8" fillId="0" borderId="54" xfId="0" applyNumberFormat="1" applyFont="1" applyFill="1" applyBorder="1"/>
    <xf numFmtId="164" fontId="8" fillId="0" borderId="54" xfId="0" applyNumberFormat="1" applyFont="1" applyFill="1" applyBorder="1"/>
    <xf numFmtId="165" fontId="8" fillId="0" borderId="54" xfId="0" applyNumberFormat="1" applyFont="1" applyFill="1" applyBorder="1"/>
    <xf numFmtId="164" fontId="8" fillId="0" borderId="12" xfId="0" applyNumberFormat="1" applyFont="1" applyFill="1" applyBorder="1"/>
    <xf numFmtId="164" fontId="8" fillId="0" borderId="11" xfId="0" applyNumberFormat="1" applyFont="1" applyFill="1" applyBorder="1"/>
    <xf numFmtId="164" fontId="26" fillId="0" borderId="12" xfId="0" applyNumberFormat="1" applyFont="1" applyFill="1" applyBorder="1"/>
    <xf numFmtId="164" fontId="4" fillId="0" borderId="0" xfId="0" applyNumberFormat="1" applyFont="1" applyFill="1"/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165" fontId="4" fillId="0" borderId="0" xfId="0" applyNumberFormat="1" applyFont="1" applyFill="1" applyAlignment="1"/>
    <xf numFmtId="164" fontId="53" fillId="0" borderId="0" xfId="0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7" fillId="0" borderId="28" xfId="0" applyNumberFormat="1" applyFont="1" applyFill="1" applyBorder="1" applyAlignment="1">
      <alignment horizontal="center" vertical="center" wrapText="1"/>
    </xf>
    <xf numFmtId="164" fontId="57" fillId="0" borderId="30" xfId="0" applyNumberFormat="1" applyFont="1" applyFill="1" applyBorder="1" applyAlignment="1">
      <alignment horizontal="right" vertical="center" wrapText="1"/>
    </xf>
    <xf numFmtId="0" fontId="59" fillId="0" borderId="0" xfId="0" applyFont="1" applyFill="1"/>
    <xf numFmtId="0" fontId="60" fillId="0" borderId="28" xfId="0" applyNumberFormat="1" applyFont="1" applyFill="1" applyBorder="1" applyAlignment="1">
      <alignment horizontal="center" vertical="center" wrapText="1"/>
    </xf>
    <xf numFmtId="0" fontId="61" fillId="0" borderId="0" xfId="0" applyFont="1" applyFill="1"/>
    <xf numFmtId="164" fontId="22" fillId="0" borderId="35" xfId="0" applyNumberFormat="1" applyFont="1" applyFill="1" applyBorder="1" applyAlignment="1">
      <alignment horizontal="right" vertical="center" wrapText="1"/>
    </xf>
    <xf numFmtId="164" fontId="22" fillId="0" borderId="31" xfId="0" applyNumberFormat="1" applyFont="1" applyFill="1" applyBorder="1" applyAlignment="1">
      <alignment horizontal="right" vertical="center" wrapText="1"/>
    </xf>
    <xf numFmtId="164" fontId="22" fillId="0" borderId="28" xfId="0" applyNumberFormat="1" applyFont="1" applyFill="1" applyBorder="1" applyAlignment="1">
      <alignment horizontal="right" vertical="center" wrapText="1"/>
    </xf>
    <xf numFmtId="0" fontId="62" fillId="0" borderId="0" xfId="0" applyFont="1"/>
    <xf numFmtId="0" fontId="63" fillId="0" borderId="10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11" fillId="0" borderId="24" xfId="0" applyFont="1" applyBorder="1"/>
    <xf numFmtId="0" fontId="11" fillId="0" borderId="31" xfId="0" applyFont="1" applyFill="1" applyBorder="1" applyAlignment="1">
      <alignment vertical="center"/>
    </xf>
    <xf numFmtId="164" fontId="11" fillId="0" borderId="33" xfId="0" applyNumberFormat="1" applyFont="1" applyFill="1" applyBorder="1" applyAlignment="1">
      <alignment vertical="center"/>
    </xf>
    <xf numFmtId="0" fontId="11" fillId="0" borderId="33" xfId="0" applyFont="1" applyFill="1" applyBorder="1"/>
    <xf numFmtId="164" fontId="11" fillId="0" borderId="33" xfId="0" applyNumberFormat="1" applyFont="1" applyFill="1" applyBorder="1"/>
    <xf numFmtId="0" fontId="11" fillId="0" borderId="33" xfId="0" applyFont="1" applyFill="1" applyBorder="1" applyAlignment="1">
      <alignment vertical="center"/>
    </xf>
    <xf numFmtId="164" fontId="20" fillId="0" borderId="24" xfId="0" applyNumberFormat="1" applyFont="1" applyFill="1" applyBorder="1" applyAlignment="1">
      <alignment vertical="center"/>
    </xf>
    <xf numFmtId="0" fontId="11" fillId="0" borderId="24" xfId="0" applyFont="1" applyFill="1" applyBorder="1"/>
    <xf numFmtId="164" fontId="21" fillId="0" borderId="33" xfId="0" applyNumberFormat="1" applyFont="1" applyFill="1" applyBorder="1"/>
    <xf numFmtId="0" fontId="21" fillId="0" borderId="24" xfId="0" applyFont="1" applyFill="1" applyBorder="1"/>
    <xf numFmtId="0" fontId="25" fillId="0" borderId="3" xfId="0" applyFont="1" applyFill="1" applyBorder="1"/>
    <xf numFmtId="164" fontId="25" fillId="0" borderId="31" xfId="0" applyNumberFormat="1" applyFont="1" applyFill="1" applyBorder="1"/>
    <xf numFmtId="164" fontId="25" fillId="0" borderId="33" xfId="0" applyNumberFormat="1" applyFont="1" applyFill="1" applyBorder="1"/>
    <xf numFmtId="164" fontId="26" fillId="0" borderId="24" xfId="0" applyNumberFormat="1" applyFont="1" applyFill="1" applyBorder="1"/>
    <xf numFmtId="0" fontId="25" fillId="0" borderId="24" xfId="0" applyFont="1" applyFill="1" applyBorder="1"/>
    <xf numFmtId="164" fontId="25" fillId="0" borderId="3" xfId="0" applyNumberFormat="1" applyFont="1" applyFill="1" applyBorder="1"/>
    <xf numFmtId="164" fontId="26" fillId="0" borderId="77" xfId="0" applyNumberFormat="1" applyFont="1" applyFill="1" applyBorder="1"/>
    <xf numFmtId="164" fontId="26" fillId="0" borderId="77" xfId="0" applyNumberFormat="1" applyFont="1" applyFill="1" applyBorder="1" applyAlignment="1">
      <alignment horizontal="right" vertical="center"/>
    </xf>
    <xf numFmtId="0" fontId="13" fillId="0" borderId="41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164" fontId="6" fillId="0" borderId="11" xfId="0" applyNumberFormat="1" applyFont="1" applyFill="1" applyBorder="1" applyAlignment="1">
      <alignment horizontal="right" vertical="center"/>
    </xf>
    <xf numFmtId="2" fontId="13" fillId="0" borderId="58" xfId="0" applyNumberFormat="1" applyFont="1" applyFill="1" applyBorder="1" applyAlignment="1">
      <alignment vertical="center"/>
    </xf>
    <xf numFmtId="2" fontId="6" fillId="0" borderId="54" xfId="0" applyNumberFormat="1" applyFont="1" applyFill="1" applyBorder="1" applyAlignment="1">
      <alignment horizontal="right" vertical="center"/>
    </xf>
    <xf numFmtId="2" fontId="6" fillId="0" borderId="54" xfId="0" applyNumberFormat="1" applyFont="1" applyFill="1" applyBorder="1" applyAlignment="1">
      <alignment vertical="center"/>
    </xf>
    <xf numFmtId="0" fontId="13" fillId="0" borderId="7" xfId="0" applyFont="1" applyFill="1" applyBorder="1"/>
    <xf numFmtId="0" fontId="13" fillId="0" borderId="32" xfId="0" applyFont="1" applyFill="1" applyBorder="1"/>
    <xf numFmtId="0" fontId="13" fillId="0" borderId="39" xfId="0" applyFont="1" applyFill="1" applyBorder="1"/>
    <xf numFmtId="0" fontId="13" fillId="0" borderId="11" xfId="0" applyFont="1" applyFill="1" applyBorder="1"/>
    <xf numFmtId="0" fontId="13" fillId="0" borderId="4" xfId="0" applyFont="1" applyFill="1" applyBorder="1"/>
    <xf numFmtId="0" fontId="13" fillId="0" borderId="11" xfId="0" applyFont="1" applyBorder="1"/>
    <xf numFmtId="0" fontId="13" fillId="0" borderId="55" xfId="0" applyFont="1" applyBorder="1"/>
    <xf numFmtId="0" fontId="13" fillId="0" borderId="55" xfId="0" applyFont="1" applyBorder="1" applyAlignment="1">
      <alignment horizontal="center" vertical="center"/>
    </xf>
    <xf numFmtId="0" fontId="0" fillId="0" borderId="5" xfId="0" applyFont="1" applyFill="1" applyBorder="1"/>
    <xf numFmtId="0" fontId="0" fillId="0" borderId="2" xfId="0" applyFont="1" applyFill="1" applyBorder="1"/>
    <xf numFmtId="0" fontId="13" fillId="0" borderId="31" xfId="0" applyFont="1" applyFill="1" applyBorder="1"/>
    <xf numFmtId="0" fontId="13" fillId="0" borderId="33" xfId="0" applyFont="1" applyFill="1" applyBorder="1"/>
    <xf numFmtId="0" fontId="13" fillId="0" borderId="22" xfId="0" applyFont="1" applyFill="1" applyBorder="1"/>
    <xf numFmtId="0" fontId="13" fillId="0" borderId="24" xfId="0" applyFont="1" applyFill="1" applyBorder="1"/>
    <xf numFmtId="0" fontId="13" fillId="0" borderId="2" xfId="0" applyFont="1" applyFill="1" applyBorder="1"/>
    <xf numFmtId="0" fontId="13" fillId="0" borderId="22" xfId="0" applyFont="1" applyBorder="1"/>
    <xf numFmtId="0" fontId="13" fillId="0" borderId="24" xfId="0" applyFont="1" applyBorder="1"/>
    <xf numFmtId="0" fontId="13" fillId="0" borderId="50" xfId="0" applyFont="1" applyBorder="1"/>
    <xf numFmtId="0" fontId="13" fillId="0" borderId="77" xfId="0" applyFont="1" applyBorder="1"/>
    <xf numFmtId="0" fontId="13" fillId="0" borderId="50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2" fillId="4" borderId="53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4" fillId="0" borderId="79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4" fillId="0" borderId="9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 wrapText="1"/>
    </xf>
    <xf numFmtId="0" fontId="37" fillId="0" borderId="53" xfId="0" applyFont="1" applyFill="1" applyBorder="1" applyAlignment="1">
      <alignment horizontal="center" vertical="center" wrapText="1"/>
    </xf>
    <xf numFmtId="0" fontId="37" fillId="0" borderId="8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right"/>
    </xf>
    <xf numFmtId="0" fontId="34" fillId="0" borderId="30" xfId="0" applyFont="1" applyFill="1" applyBorder="1" applyAlignment="1">
      <alignment horizontal="right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right"/>
    </xf>
    <xf numFmtId="0" fontId="34" fillId="0" borderId="38" xfId="0" applyFont="1" applyFill="1" applyBorder="1" applyAlignment="1">
      <alignment horizontal="right"/>
    </xf>
    <xf numFmtId="0" fontId="13" fillId="0" borderId="28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right" wrapText="1"/>
    </xf>
    <xf numFmtId="0" fontId="34" fillId="0" borderId="38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 vertical="center" wrapText="1"/>
    </xf>
    <xf numFmtId="0" fontId="8" fillId="0" borderId="12" xfId="0" applyFont="1" applyFill="1" applyBorder="1"/>
    <xf numFmtId="0" fontId="34" fillId="0" borderId="11" xfId="0" applyFont="1" applyFill="1" applyBorder="1"/>
    <xf numFmtId="0" fontId="34" fillId="0" borderId="23" xfId="0" applyFont="1" applyFill="1" applyBorder="1"/>
    <xf numFmtId="0" fontId="13" fillId="0" borderId="69" xfId="0" applyFont="1" applyFill="1" applyBorder="1" applyAlignment="1">
      <alignment horizontal="center" vertical="center"/>
    </xf>
    <xf numFmtId="0" fontId="13" fillId="0" borderId="7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75" xfId="0" applyFont="1" applyFill="1" applyBorder="1"/>
    <xf numFmtId="0" fontId="35" fillId="0" borderId="0" xfId="0" applyFont="1" applyFill="1" applyBorder="1"/>
    <xf numFmtId="0" fontId="35" fillId="0" borderId="53" xfId="0" applyFont="1" applyFill="1" applyBorder="1"/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/>
    <xf numFmtId="0" fontId="8" fillId="0" borderId="26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13" fillId="0" borderId="12" xfId="0" applyFont="1" applyFill="1" applyBorder="1"/>
    <xf numFmtId="0" fontId="35" fillId="0" borderId="55" xfId="0" applyFont="1" applyFill="1" applyBorder="1"/>
    <xf numFmtId="0" fontId="35" fillId="0" borderId="65" xfId="0" applyFont="1" applyFill="1" applyBorder="1"/>
    <xf numFmtId="0" fontId="13" fillId="0" borderId="0" xfId="0" applyFont="1" applyFill="1" applyBorder="1"/>
    <xf numFmtId="0" fontId="27" fillId="0" borderId="1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2" fillId="0" borderId="67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right"/>
    </xf>
    <xf numFmtId="0" fontId="13" fillId="0" borderId="49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11" xfId="0" applyFill="1" applyBorder="1" applyAlignment="1">
      <alignment horizontal="center" vertical="center"/>
    </xf>
    <xf numFmtId="0" fontId="36" fillId="0" borderId="25" xfId="0" applyFont="1" applyFill="1" applyBorder="1"/>
    <xf numFmtId="0" fontId="36" fillId="0" borderId="23" xfId="0" applyFont="1" applyFill="1" applyBorder="1"/>
    <xf numFmtId="0" fontId="36" fillId="0" borderId="11" xfId="0" applyFont="1" applyFill="1" applyBorder="1"/>
    <xf numFmtId="0" fontId="12" fillId="0" borderId="66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164" fontId="26" fillId="0" borderId="33" xfId="0" applyNumberFormat="1" applyFont="1" applyFill="1" applyBorder="1" applyAlignment="1">
      <alignment vertical="center"/>
    </xf>
    <xf numFmtId="0" fontId="26" fillId="0" borderId="22" xfId="0" applyFont="1" applyFill="1" applyBorder="1"/>
    <xf numFmtId="0" fontId="26" fillId="0" borderId="24" xfId="0" applyFont="1" applyFill="1" applyBorder="1"/>
    <xf numFmtId="0" fontId="26" fillId="0" borderId="28" xfId="0" applyFont="1" applyFill="1" applyBorder="1"/>
    <xf numFmtId="0" fontId="26" fillId="0" borderId="31" xfId="0" applyFont="1" applyFill="1" applyBorder="1"/>
    <xf numFmtId="0" fontId="26" fillId="0" borderId="14" xfId="0" applyFont="1" applyFill="1" applyBorder="1"/>
    <xf numFmtId="0" fontId="26" fillId="0" borderId="15" xfId="0" applyFont="1" applyFill="1" applyBorder="1"/>
    <xf numFmtId="0" fontId="26" fillId="0" borderId="0" xfId="0" applyFont="1" applyFill="1" applyBorder="1"/>
    <xf numFmtId="0" fontId="26" fillId="0" borderId="75" xfId="0" applyFont="1" applyFill="1" applyBorder="1"/>
    <xf numFmtId="0" fontId="8" fillId="0" borderId="0" xfId="0" applyFont="1" applyFill="1" applyBorder="1"/>
    <xf numFmtId="0" fontId="8" fillId="0" borderId="75" xfId="0" applyFont="1" applyFill="1" applyBorder="1"/>
    <xf numFmtId="0" fontId="26" fillId="0" borderId="37" xfId="0" applyFont="1" applyFill="1" applyBorder="1"/>
    <xf numFmtId="164" fontId="26" fillId="0" borderId="33" xfId="0" applyNumberFormat="1" applyFont="1" applyFill="1" applyBorder="1"/>
    <xf numFmtId="0" fontId="26" fillId="0" borderId="33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0" xfId="0" applyFont="1" applyFill="1"/>
    <xf numFmtId="164" fontId="26" fillId="0" borderId="3" xfId="0" applyNumberFormat="1" applyFont="1" applyFill="1" applyBorder="1" applyAlignment="1">
      <alignment vertical="center"/>
    </xf>
    <xf numFmtId="164" fontId="26" fillId="0" borderId="31" xfId="0" applyNumberFormat="1" applyFont="1" applyFill="1" applyBorder="1"/>
    <xf numFmtId="164" fontId="26" fillId="0" borderId="33" xfId="0" applyNumberFormat="1" applyFont="1" applyFill="1" applyBorder="1" applyAlignment="1">
      <alignment horizontal="right" vertical="center"/>
    </xf>
    <xf numFmtId="164" fontId="26" fillId="0" borderId="43" xfId="0" applyNumberFormat="1" applyFont="1" applyFill="1" applyBorder="1"/>
    <xf numFmtId="164" fontId="26" fillId="0" borderId="43" xfId="0" applyNumberFormat="1" applyFont="1" applyFill="1" applyBorder="1" applyAlignment="1">
      <alignment horizontal="right" vertical="center"/>
    </xf>
    <xf numFmtId="1" fontId="26" fillId="0" borderId="37" xfId="0" applyNumberFormat="1" applyFont="1" applyFill="1" applyBorder="1" applyAlignment="1">
      <alignment horizontal="right"/>
    </xf>
    <xf numFmtId="1" fontId="26" fillId="0" borderId="49" xfId="0" applyNumberFormat="1" applyFont="1" applyFill="1" applyBorder="1" applyAlignment="1">
      <alignment horizontal="right"/>
    </xf>
    <xf numFmtId="1" fontId="26" fillId="0" borderId="28" xfId="0" applyNumberFormat="1" applyFont="1" applyFill="1" applyBorder="1" applyAlignment="1">
      <alignment horizontal="right"/>
    </xf>
    <xf numFmtId="164" fontId="26" fillId="0" borderId="31" xfId="0" applyNumberFormat="1" applyFont="1" applyFill="1" applyBorder="1" applyAlignment="1">
      <alignment horizontal="right"/>
    </xf>
    <xf numFmtId="164" fontId="26" fillId="0" borderId="33" xfId="0" applyNumberFormat="1" applyFont="1" applyFill="1" applyBorder="1" applyAlignment="1">
      <alignment horizontal="right"/>
    </xf>
    <xf numFmtId="164" fontId="26" fillId="0" borderId="43" xfId="0" applyNumberFormat="1" applyFont="1" applyFill="1" applyBorder="1" applyAlignment="1">
      <alignment horizontal="right"/>
    </xf>
    <xf numFmtId="167" fontId="22" fillId="0" borderId="8" xfId="0" applyNumberFormat="1" applyFont="1" applyBorder="1" applyAlignment="1">
      <alignment horizontal="center" vertical="center"/>
    </xf>
    <xf numFmtId="167" fontId="22" fillId="0" borderId="78" xfId="0" applyNumberFormat="1" applyFont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4" borderId="79" xfId="0" applyFont="1" applyFill="1" applyBorder="1" applyAlignment="1">
      <alignment horizontal="center" vertical="center"/>
    </xf>
    <xf numFmtId="0" fontId="22" fillId="4" borderId="74" xfId="0" applyFont="1" applyFill="1" applyBorder="1" applyAlignment="1">
      <alignment horizontal="center" vertical="center"/>
    </xf>
    <xf numFmtId="0" fontId="64" fillId="4" borderId="74" xfId="0" applyFont="1" applyFill="1" applyBorder="1" applyAlignment="1">
      <alignment horizontal="center" vertical="center"/>
    </xf>
    <xf numFmtId="167" fontId="22" fillId="0" borderId="72" xfId="0" applyNumberFormat="1" applyFont="1" applyBorder="1" applyAlignment="1">
      <alignment horizontal="center" vertical="center"/>
    </xf>
    <xf numFmtId="167" fontId="22" fillId="0" borderId="76" xfId="0" applyNumberFormat="1" applyFont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64" fillId="4" borderId="69" xfId="0" applyFont="1" applyFill="1" applyBorder="1" applyAlignment="1">
      <alignment horizontal="center" vertical="center"/>
    </xf>
    <xf numFmtId="0" fontId="64" fillId="4" borderId="53" xfId="0" applyFont="1" applyFill="1" applyBorder="1" applyAlignment="1">
      <alignment horizontal="center" vertical="center"/>
    </xf>
    <xf numFmtId="167" fontId="22" fillId="0" borderId="18" xfId="0" applyNumberFormat="1" applyFont="1" applyBorder="1" applyAlignment="1">
      <alignment horizontal="center" vertical="center"/>
    </xf>
    <xf numFmtId="167" fontId="22" fillId="0" borderId="18" xfId="0" applyNumberFormat="1" applyFont="1" applyBorder="1" applyAlignment="1">
      <alignment vertical="center"/>
    </xf>
    <xf numFmtId="0" fontId="22" fillId="0" borderId="77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5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vertical="center"/>
    </xf>
    <xf numFmtId="0" fontId="47" fillId="0" borderId="41" xfId="0" applyFont="1" applyFill="1" applyBorder="1" applyAlignment="1">
      <alignment vertical="center"/>
    </xf>
    <xf numFmtId="0" fontId="47" fillId="0" borderId="33" xfId="0" applyFont="1" applyFill="1" applyBorder="1" applyAlignment="1">
      <alignment horizontal="right" vertical="center"/>
    </xf>
    <xf numFmtId="0" fontId="47" fillId="4" borderId="39" xfId="0" applyFont="1" applyFill="1" applyBorder="1" applyAlignment="1">
      <alignment horizontal="right" vertical="center"/>
    </xf>
    <xf numFmtId="0" fontId="47" fillId="4" borderId="38" xfId="0" applyFont="1" applyFill="1" applyBorder="1" applyAlignment="1">
      <alignment horizontal="right" vertical="center"/>
    </xf>
    <xf numFmtId="0" fontId="15" fillId="4" borderId="39" xfId="0" applyFont="1" applyFill="1" applyBorder="1" applyAlignment="1">
      <alignment horizontal="right" vertical="center"/>
    </xf>
    <xf numFmtId="0" fontId="65" fillId="4" borderId="39" xfId="0" applyFont="1" applyFill="1" applyBorder="1" applyAlignment="1">
      <alignment horizontal="right" vertical="center"/>
    </xf>
    <xf numFmtId="1" fontId="47" fillId="0" borderId="38" xfId="0" applyNumberFormat="1" applyFont="1" applyFill="1" applyBorder="1" applyAlignment="1">
      <alignment horizontal="right" vertical="center"/>
    </xf>
    <xf numFmtId="0" fontId="47" fillId="0" borderId="46" xfId="0" applyFont="1" applyFill="1" applyBorder="1" applyAlignment="1">
      <alignment vertical="center"/>
    </xf>
    <xf numFmtId="0" fontId="47" fillId="0" borderId="47" xfId="0" applyFont="1" applyFill="1" applyBorder="1" applyAlignment="1">
      <alignment vertical="center"/>
    </xf>
    <xf numFmtId="0" fontId="47" fillId="0" borderId="43" xfId="0" applyFont="1" applyFill="1" applyBorder="1" applyAlignment="1">
      <alignment horizontal="right" vertical="center"/>
    </xf>
    <xf numFmtId="0" fontId="47" fillId="4" borderId="44" xfId="0" applyFont="1" applyFill="1" applyBorder="1" applyAlignment="1">
      <alignment horizontal="right" vertical="center"/>
    </xf>
    <xf numFmtId="0" fontId="47" fillId="4" borderId="46" xfId="0" applyFont="1" applyFill="1" applyBorder="1" applyAlignment="1">
      <alignment horizontal="right" vertical="center"/>
    </xf>
    <xf numFmtId="0" fontId="15" fillId="4" borderId="44" xfId="0" applyFont="1" applyFill="1" applyBorder="1" applyAlignment="1">
      <alignment horizontal="right" vertical="center"/>
    </xf>
    <xf numFmtId="0" fontId="47" fillId="0" borderId="23" xfId="0" applyFont="1" applyFill="1" applyBorder="1" applyAlignment="1">
      <alignment vertical="center"/>
    </xf>
    <xf numFmtId="0" fontId="47" fillId="0" borderId="26" xfId="0" applyFont="1" applyFill="1" applyBorder="1" applyAlignment="1">
      <alignment vertical="center"/>
    </xf>
    <xf numFmtId="0" fontId="47" fillId="0" borderId="24" xfId="0" applyFont="1" applyFill="1" applyBorder="1" applyAlignment="1">
      <alignment horizontal="right" vertical="center"/>
    </xf>
    <xf numFmtId="0" fontId="47" fillId="4" borderId="11" xfId="0" applyFont="1" applyFill="1" applyBorder="1" applyAlignment="1">
      <alignment horizontal="right" vertical="center"/>
    </xf>
    <xf numFmtId="0" fontId="47" fillId="4" borderId="23" xfId="0" applyFont="1" applyFill="1" applyBorder="1" applyAlignment="1">
      <alignment horizontal="right" vertical="center"/>
    </xf>
    <xf numFmtId="0" fontId="15" fillId="4" borderId="11" xfId="0" applyFont="1" applyFill="1" applyBorder="1" applyAlignment="1">
      <alignment horizontal="right" vertical="center"/>
    </xf>
    <xf numFmtId="0" fontId="46" fillId="0" borderId="79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49" fontId="57" fillId="0" borderId="73" xfId="0" applyNumberFormat="1" applyFont="1" applyBorder="1" applyAlignment="1">
      <alignment horizontal="center" vertical="center" wrapText="1"/>
    </xf>
    <xf numFmtId="49" fontId="57" fillId="0" borderId="71" xfId="0" applyNumberFormat="1" applyFont="1" applyBorder="1" applyAlignment="1">
      <alignment horizontal="center" vertical="center" wrapText="1"/>
    </xf>
    <xf numFmtId="49" fontId="57" fillId="0" borderId="50" xfId="0" applyNumberFormat="1" applyFont="1" applyBorder="1" applyAlignment="1">
      <alignment horizontal="center" vertical="center"/>
    </xf>
    <xf numFmtId="0" fontId="60" fillId="0" borderId="37" xfId="0" applyNumberFormat="1" applyFont="1" applyFill="1" applyBorder="1" applyAlignment="1">
      <alignment horizontal="center" vertical="center"/>
    </xf>
    <xf numFmtId="0" fontId="60" fillId="0" borderId="22" xfId="0" applyNumberFormat="1" applyFont="1" applyFill="1" applyBorder="1" applyAlignment="1">
      <alignment horizontal="center" vertical="center"/>
    </xf>
    <xf numFmtId="0" fontId="46" fillId="3" borderId="37" xfId="0" applyFont="1" applyFill="1" applyBorder="1" applyAlignment="1">
      <alignment horizontal="right" vertical="center"/>
    </xf>
    <xf numFmtId="0" fontId="46" fillId="3" borderId="33" xfId="0" applyFont="1" applyFill="1" applyBorder="1" applyAlignment="1">
      <alignment horizontal="right" vertical="center"/>
    </xf>
    <xf numFmtId="0" fontId="46" fillId="0" borderId="37" xfId="0" applyFont="1" applyFill="1" applyBorder="1" applyAlignment="1">
      <alignment horizontal="right" vertical="center"/>
    </xf>
    <xf numFmtId="0" fontId="46" fillId="0" borderId="33" xfId="0" applyFont="1" applyFill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46" fillId="0" borderId="49" xfId="0" applyFont="1" applyFill="1" applyBorder="1" applyAlignment="1">
      <alignment horizontal="right" vertical="center"/>
    </xf>
    <xf numFmtId="0" fontId="46" fillId="3" borderId="49" xfId="0" applyFont="1" applyFill="1" applyBorder="1" applyAlignment="1">
      <alignment horizontal="right"/>
    </xf>
    <xf numFmtId="0" fontId="46" fillId="3" borderId="43" xfId="0" applyFont="1" applyFill="1" applyBorder="1" applyAlignment="1">
      <alignment horizontal="right"/>
    </xf>
    <xf numFmtId="0" fontId="46" fillId="0" borderId="22" xfId="0" applyFont="1" applyFill="1" applyBorder="1" applyAlignment="1">
      <alignment horizontal="right" vertical="center"/>
    </xf>
    <xf numFmtId="0" fontId="46" fillId="0" borderId="54" xfId="0" applyFont="1" applyFill="1" applyBorder="1" applyAlignment="1">
      <alignment horizontal="right" vertical="center"/>
    </xf>
    <xf numFmtId="0" fontId="19" fillId="0" borderId="10" xfId="0" applyFont="1" applyBorder="1"/>
    <xf numFmtId="0" fontId="19" fillId="0" borderId="11" xfId="0" applyFont="1" applyBorder="1"/>
    <xf numFmtId="0" fontId="66" fillId="0" borderId="11" xfId="0" applyFont="1" applyBorder="1"/>
    <xf numFmtId="0" fontId="19" fillId="0" borderId="11" xfId="0" applyFont="1" applyBorder="1" applyAlignment="1">
      <alignment horizontal="right"/>
    </xf>
    <xf numFmtId="164" fontId="19" fillId="0" borderId="12" xfId="0" applyNumberFormat="1" applyFont="1" applyBorder="1" applyAlignment="1">
      <alignment horizontal="right"/>
    </xf>
    <xf numFmtId="0" fontId="56" fillId="4" borderId="67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56" fillId="4" borderId="55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right"/>
    </xf>
    <xf numFmtId="0" fontId="46" fillId="0" borderId="11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6" fillId="3" borderId="41" xfId="0" applyFont="1" applyFill="1" applyBorder="1" applyAlignment="1">
      <alignment horizontal="right" vertical="center"/>
    </xf>
    <xf numFmtId="0" fontId="46" fillId="0" borderId="41" xfId="0" applyFont="1" applyFill="1" applyBorder="1" applyAlignment="1">
      <alignment horizontal="right" vertical="center"/>
    </xf>
    <xf numFmtId="0" fontId="46" fillId="0" borderId="47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right" vertical="center"/>
    </xf>
    <xf numFmtId="167" fontId="6" fillId="0" borderId="67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67" fontId="6" fillId="0" borderId="45" xfId="0" applyNumberFormat="1" applyFont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horizontal="right" vertical="center"/>
    </xf>
    <xf numFmtId="1" fontId="6" fillId="0" borderId="25" xfId="0" applyNumberFormat="1" applyFont="1" applyFill="1" applyBorder="1"/>
    <xf numFmtId="167" fontId="6" fillId="0" borderId="66" xfId="0" applyNumberFormat="1" applyFont="1" applyBorder="1" applyAlignment="1">
      <alignment horizontal="center" vertical="center" wrapText="1"/>
    </xf>
    <xf numFmtId="167" fontId="6" fillId="0" borderId="70" xfId="0" applyNumberFormat="1" applyFont="1" applyBorder="1" applyAlignment="1">
      <alignment horizontal="center" vertical="center" wrapText="1"/>
    </xf>
    <xf numFmtId="167" fontId="6" fillId="0" borderId="54" xfId="0" applyNumberFormat="1" applyFont="1" applyBorder="1" applyAlignment="1">
      <alignment horizontal="center" vertical="center" wrapText="1"/>
    </xf>
    <xf numFmtId="0" fontId="4" fillId="0" borderId="58" xfId="0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horizontal="right" vertical="center"/>
    </xf>
    <xf numFmtId="0" fontId="4" fillId="0" borderId="57" xfId="0" applyFont="1" applyFill="1" applyBorder="1" applyAlignment="1">
      <alignment vertical="center"/>
    </xf>
    <xf numFmtId="1" fontId="4" fillId="0" borderId="57" xfId="0" applyNumberFormat="1" applyFont="1" applyFill="1" applyBorder="1" applyAlignment="1">
      <alignment horizontal="right" vertical="center"/>
    </xf>
    <xf numFmtId="165" fontId="6" fillId="0" borderId="54" xfId="0" applyNumberFormat="1" applyFont="1" applyFill="1" applyBorder="1"/>
    <xf numFmtId="167" fontId="22" fillId="0" borderId="67" xfId="0" applyNumberFormat="1" applyFont="1" applyBorder="1" applyAlignment="1">
      <alignment horizontal="center" vertical="center"/>
    </xf>
    <xf numFmtId="167" fontId="22" fillId="0" borderId="0" xfId="0" applyNumberFormat="1" applyFont="1" applyBorder="1" applyAlignment="1">
      <alignment horizontal="center" vertical="center"/>
    </xf>
    <xf numFmtId="167" fontId="22" fillId="0" borderId="17" xfId="0" applyNumberFormat="1" applyFont="1" applyBorder="1" applyAlignment="1">
      <alignment horizontal="center" vertical="center"/>
    </xf>
    <xf numFmtId="0" fontId="47" fillId="0" borderId="39" xfId="0" applyFont="1" applyFill="1" applyBorder="1" applyAlignment="1">
      <alignment vertical="center"/>
    </xf>
    <xf numFmtId="0" fontId="47" fillId="0" borderId="39" xfId="0" applyFont="1" applyFill="1" applyBorder="1" applyAlignment="1">
      <alignment horizontal="right" vertical="center"/>
    </xf>
    <xf numFmtId="0" fontId="47" fillId="0" borderId="44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167" fontId="57" fillId="0" borderId="66" xfId="0" applyNumberFormat="1" applyFont="1" applyBorder="1" applyAlignment="1">
      <alignment horizontal="center" vertical="center" wrapText="1"/>
    </xf>
    <xf numFmtId="167" fontId="57" fillId="0" borderId="70" xfId="0" applyNumberFormat="1" applyFont="1" applyBorder="1" applyAlignment="1">
      <alignment horizontal="center" vertical="center" wrapText="1"/>
    </xf>
    <xf numFmtId="167" fontId="57" fillId="0" borderId="63" xfId="0" applyNumberFormat="1" applyFont="1" applyBorder="1" applyAlignment="1">
      <alignment horizontal="center" vertical="center" wrapText="1"/>
    </xf>
    <xf numFmtId="0" fontId="47" fillId="0" borderId="58" xfId="0" applyFont="1" applyFill="1" applyBorder="1" applyAlignment="1">
      <alignment vertical="center"/>
    </xf>
    <xf numFmtId="0" fontId="47" fillId="0" borderId="58" xfId="0" applyFont="1" applyFill="1" applyBorder="1" applyAlignment="1">
      <alignment horizontal="right" vertical="center"/>
    </xf>
    <xf numFmtId="0" fontId="47" fillId="0" borderId="60" xfId="0" applyFont="1" applyFill="1" applyBorder="1" applyAlignment="1">
      <alignment vertical="center"/>
    </xf>
    <xf numFmtId="0" fontId="47" fillId="0" borderId="54" xfId="0" applyFont="1" applyFill="1" applyBorder="1" applyAlignment="1">
      <alignment vertical="center"/>
    </xf>
    <xf numFmtId="0" fontId="19" fillId="0" borderId="54" xfId="0" applyFont="1" applyBorder="1"/>
    <xf numFmtId="0" fontId="6" fillId="0" borderId="26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wrapText="1"/>
    </xf>
    <xf numFmtId="167" fontId="6" fillId="0" borderId="0" xfId="0" applyNumberFormat="1" applyFont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/>
    <xf numFmtId="167" fontId="6" fillId="0" borderId="66" xfId="0" applyNumberFormat="1" applyFont="1" applyBorder="1" applyAlignment="1">
      <alignment horizontal="center" vertical="center"/>
    </xf>
    <xf numFmtId="167" fontId="6" fillId="0" borderId="70" xfId="0" applyNumberFormat="1" applyFont="1" applyBorder="1" applyAlignment="1">
      <alignment horizontal="center" vertical="center"/>
    </xf>
    <xf numFmtId="167" fontId="6" fillId="0" borderId="54" xfId="0" applyNumberFormat="1" applyFont="1" applyBorder="1" applyAlignment="1">
      <alignment horizontal="center" vertical="center"/>
    </xf>
    <xf numFmtId="1" fontId="6" fillId="0" borderId="54" xfId="0" applyNumberFormat="1" applyFont="1" applyFill="1" applyBorder="1"/>
    <xf numFmtId="0" fontId="57" fillId="0" borderId="8" xfId="0" applyFont="1" applyBorder="1" applyAlignment="1">
      <alignment horizontal="center" vertical="center" wrapText="1"/>
    </xf>
    <xf numFmtId="0" fontId="57" fillId="0" borderId="72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60" fillId="0" borderId="41" xfId="0" applyFont="1" applyFill="1" applyBorder="1" applyAlignment="1">
      <alignment vertical="center" wrapText="1"/>
    </xf>
    <xf numFmtId="0" fontId="60" fillId="0" borderId="47" xfId="0" applyFont="1" applyFill="1" applyBorder="1" applyAlignment="1">
      <alignment vertical="center" wrapText="1"/>
    </xf>
    <xf numFmtId="0" fontId="60" fillId="0" borderId="26" xfId="0" applyFont="1" applyFill="1" applyBorder="1" applyAlignment="1">
      <alignment vertical="center" wrapText="1"/>
    </xf>
    <xf numFmtId="0" fontId="57" fillId="0" borderId="26" xfId="0" applyFont="1" applyFill="1" applyBorder="1" applyAlignment="1">
      <alignment vertical="center" wrapText="1"/>
    </xf>
    <xf numFmtId="167" fontId="57" fillId="0" borderId="67" xfId="0" applyNumberFormat="1" applyFont="1" applyBorder="1" applyAlignment="1">
      <alignment horizontal="center" vertical="center"/>
    </xf>
    <xf numFmtId="167" fontId="57" fillId="0" borderId="0" xfId="0" applyNumberFormat="1" applyFont="1" applyBorder="1" applyAlignment="1">
      <alignment horizontal="center" vertical="center"/>
    </xf>
    <xf numFmtId="167" fontId="57" fillId="0" borderId="55" xfId="0" applyNumberFormat="1" applyFont="1" applyBorder="1" applyAlignment="1">
      <alignment horizontal="center" vertical="center"/>
    </xf>
    <xf numFmtId="167" fontId="57" fillId="0" borderId="66" xfId="0" applyNumberFormat="1" applyFont="1" applyBorder="1" applyAlignment="1">
      <alignment horizontal="center" vertical="center"/>
    </xf>
    <xf numFmtId="167" fontId="57" fillId="0" borderId="70" xfId="0" applyNumberFormat="1" applyFont="1" applyBorder="1" applyAlignment="1">
      <alignment horizontal="center" vertical="center"/>
    </xf>
    <xf numFmtId="167" fontId="57" fillId="0" borderId="6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wrapText="1"/>
    </xf>
    <xf numFmtId="0" fontId="26" fillId="0" borderId="79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4" borderId="79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74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0" borderId="7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wrapText="1"/>
    </xf>
    <xf numFmtId="0" fontId="26" fillId="0" borderId="52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4" borderId="52" xfId="0" applyFont="1" applyFill="1" applyBorder="1" applyAlignment="1">
      <alignment horizontal="center" wrapText="1"/>
    </xf>
    <xf numFmtId="0" fontId="8" fillId="4" borderId="35" xfId="0" applyFont="1" applyFill="1" applyBorder="1" applyAlignment="1">
      <alignment horizontal="center" wrapText="1"/>
    </xf>
    <xf numFmtId="0" fontId="8" fillId="4" borderId="30" xfId="0" applyFont="1" applyFill="1" applyBorder="1" applyAlignment="1">
      <alignment horizontal="center" wrapText="1"/>
    </xf>
    <xf numFmtId="0" fontId="8" fillId="4" borderId="36" xfId="0" applyFont="1" applyFill="1" applyBorder="1" applyAlignment="1">
      <alignment horizontal="center" wrapText="1"/>
    </xf>
    <xf numFmtId="0" fontId="8" fillId="0" borderId="5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wrapText="1"/>
    </xf>
    <xf numFmtId="0" fontId="26" fillId="0" borderId="50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4" borderId="69" xfId="0" applyFont="1" applyFill="1" applyBorder="1" applyAlignment="1">
      <alignment horizontal="center"/>
    </xf>
    <xf numFmtId="0" fontId="8" fillId="4" borderId="75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1" fontId="13" fillId="0" borderId="30" xfId="0" applyNumberFormat="1" applyFont="1" applyFill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5" xfId="0" applyFont="1" applyFill="1" applyBorder="1" applyAlignment="1">
      <alignment horizontal="right"/>
    </xf>
    <xf numFmtId="0" fontId="13" fillId="0" borderId="57" xfId="0" applyFont="1" applyFill="1" applyBorder="1" applyAlignment="1">
      <alignment horizontal="right"/>
    </xf>
    <xf numFmtId="0" fontId="25" fillId="0" borderId="28" xfId="0" applyFont="1" applyFill="1" applyBorder="1" applyAlignment="1">
      <alignment horizontal="right"/>
    </xf>
    <xf numFmtId="0" fontId="25" fillId="0" borderId="30" xfId="0" applyFont="1" applyFill="1" applyBorder="1" applyAlignment="1">
      <alignment horizontal="right"/>
    </xf>
    <xf numFmtId="0" fontId="25" fillId="0" borderId="35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0" fontId="13" fillId="0" borderId="52" xfId="0" applyFont="1" applyFill="1" applyBorder="1" applyAlignment="1">
      <alignment horizontal="right"/>
    </xf>
    <xf numFmtId="0" fontId="13" fillId="0" borderId="36" xfId="0" applyFont="1" applyFill="1" applyBorder="1" applyAlignment="1">
      <alignment horizontal="right"/>
    </xf>
    <xf numFmtId="0" fontId="13" fillId="0" borderId="37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0" fontId="13" fillId="0" borderId="58" xfId="0" applyFont="1" applyFill="1" applyBorder="1" applyAlignment="1">
      <alignment horizontal="right"/>
    </xf>
    <xf numFmtId="0" fontId="25" fillId="0" borderId="37" xfId="0" applyFont="1" applyFill="1" applyBorder="1" applyAlignment="1">
      <alignment horizontal="right"/>
    </xf>
    <xf numFmtId="0" fontId="25" fillId="0" borderId="38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right"/>
    </xf>
    <xf numFmtId="0" fontId="13" fillId="0" borderId="42" xfId="0" applyFont="1" applyFill="1" applyBorder="1" applyAlignment="1">
      <alignment horizontal="right"/>
    </xf>
    <xf numFmtId="0" fontId="13" fillId="0" borderId="38" xfId="0" applyFont="1" applyFill="1" applyBorder="1" applyAlignment="1">
      <alignment horizontal="left"/>
    </xf>
    <xf numFmtId="164" fontId="25" fillId="0" borderId="38" xfId="0" applyNumberFormat="1" applyFont="1" applyFill="1" applyBorder="1" applyAlignment="1">
      <alignment horizontal="right"/>
    </xf>
    <xf numFmtId="0" fontId="13" fillId="0" borderId="38" xfId="0" applyFont="1" applyFill="1" applyBorder="1" applyAlignment="1"/>
    <xf numFmtId="0" fontId="26" fillId="0" borderId="40" xfId="0" applyFont="1" applyFill="1" applyBorder="1" applyAlignment="1">
      <alignment horizontal="right"/>
    </xf>
    <xf numFmtId="2" fontId="13" fillId="0" borderId="41" xfId="0" applyNumberFormat="1" applyFont="1" applyFill="1" applyBorder="1" applyAlignment="1">
      <alignment horizontal="right"/>
    </xf>
    <xf numFmtId="2" fontId="13" fillId="0" borderId="58" xfId="0" applyNumberFormat="1" applyFont="1" applyFill="1" applyBorder="1" applyAlignment="1">
      <alignment horizontal="right"/>
    </xf>
    <xf numFmtId="2" fontId="25" fillId="0" borderId="37" xfId="0" applyNumberFormat="1" applyFont="1" applyFill="1" applyBorder="1" applyAlignment="1">
      <alignment horizontal="right"/>
    </xf>
    <xf numFmtId="2" fontId="25" fillId="0" borderId="41" xfId="0" applyNumberFormat="1" applyFont="1" applyFill="1" applyBorder="1" applyAlignment="1">
      <alignment horizontal="right"/>
    </xf>
    <xf numFmtId="0" fontId="13" fillId="0" borderId="46" xfId="0" applyFont="1" applyFill="1" applyBorder="1" applyAlignment="1">
      <alignment horizontal="left"/>
    </xf>
    <xf numFmtId="1" fontId="13" fillId="0" borderId="53" xfId="0" applyNumberFormat="1" applyFont="1" applyFill="1" applyBorder="1" applyAlignment="1">
      <alignment horizontal="right"/>
    </xf>
    <xf numFmtId="0" fontId="13" fillId="0" borderId="46" xfId="0" applyFont="1" applyFill="1" applyBorder="1" applyAlignment="1">
      <alignment horizontal="right"/>
    </xf>
    <xf numFmtId="0" fontId="13" fillId="0" borderId="47" xfId="0" applyFont="1" applyFill="1" applyBorder="1" applyAlignment="1">
      <alignment horizontal="right"/>
    </xf>
    <xf numFmtId="0" fontId="13" fillId="0" borderId="60" xfId="0" applyFont="1" applyFill="1" applyBorder="1" applyAlignment="1">
      <alignment horizontal="right"/>
    </xf>
    <xf numFmtId="0" fontId="25" fillId="0" borderId="49" xfId="0" applyFont="1" applyFill="1" applyBorder="1" applyAlignment="1">
      <alignment horizontal="right"/>
    </xf>
    <xf numFmtId="164" fontId="25" fillId="0" borderId="46" xfId="0" applyNumberFormat="1" applyFont="1" applyFill="1" applyBorder="1" applyAlignment="1">
      <alignment horizontal="right"/>
    </xf>
    <xf numFmtId="0" fontId="25" fillId="0" borderId="47" xfId="0" applyFont="1" applyFill="1" applyBorder="1" applyAlignment="1">
      <alignment horizontal="right"/>
    </xf>
    <xf numFmtId="0" fontId="13" fillId="0" borderId="45" xfId="0" applyFont="1" applyFill="1" applyBorder="1" applyAlignment="1">
      <alignment horizontal="right"/>
    </xf>
    <xf numFmtId="0" fontId="13" fillId="0" borderId="59" xfId="0" applyFont="1" applyFill="1" applyBorder="1" applyAlignment="1">
      <alignment horizontal="right"/>
    </xf>
    <xf numFmtId="0" fontId="13" fillId="0" borderId="48" xfId="0" applyFont="1" applyFill="1" applyBorder="1" applyAlignment="1">
      <alignment horizontal="right"/>
    </xf>
    <xf numFmtId="1" fontId="13" fillId="0" borderId="38" xfId="0" applyNumberFormat="1" applyFont="1" applyFill="1" applyBorder="1" applyAlignment="1">
      <alignment horizontal="right"/>
    </xf>
    <xf numFmtId="0" fontId="26" fillId="0" borderId="34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left"/>
    </xf>
    <xf numFmtId="1" fontId="8" fillId="0" borderId="23" xfId="0" applyNumberFormat="1" applyFont="1" applyFill="1" applyBorder="1" applyAlignment="1">
      <alignment horizontal="right"/>
    </xf>
    <xf numFmtId="1" fontId="8" fillId="0" borderId="26" xfId="0" applyNumberFormat="1" applyFont="1" applyFill="1" applyBorder="1" applyAlignment="1">
      <alignment horizontal="right"/>
    </xf>
    <xf numFmtId="1" fontId="26" fillId="0" borderId="22" xfId="0" applyNumberFormat="1" applyFont="1" applyFill="1" applyBorder="1" applyAlignment="1">
      <alignment horizontal="right"/>
    </xf>
    <xf numFmtId="164" fontId="26" fillId="0" borderId="22" xfId="0" applyNumberFormat="1" applyFont="1" applyFill="1" applyBorder="1" applyAlignment="1">
      <alignment horizontal="right"/>
    </xf>
    <xf numFmtId="1" fontId="26" fillId="0" borderId="26" xfId="0" applyNumberFormat="1" applyFont="1" applyFill="1" applyBorder="1" applyAlignment="1">
      <alignment horizontal="right"/>
    </xf>
    <xf numFmtId="1" fontId="8" fillId="0" borderId="10" xfId="0" applyNumberFormat="1" applyFont="1" applyFill="1" applyBorder="1" applyAlignment="1">
      <alignment horizontal="right"/>
    </xf>
    <xf numFmtId="1" fontId="8" fillId="0" borderId="12" xfId="0" applyNumberFormat="1" applyFont="1" applyFill="1" applyBorder="1" applyAlignment="1">
      <alignment horizontal="right"/>
    </xf>
    <xf numFmtId="0" fontId="13" fillId="0" borderId="69" xfId="0" applyFont="1" applyFill="1" applyBorder="1"/>
    <xf numFmtId="0" fontId="67" fillId="0" borderId="0" xfId="0" applyFont="1" applyFill="1" applyBorder="1"/>
    <xf numFmtId="0" fontId="13" fillId="0" borderId="72" xfId="0" applyFont="1" applyFill="1" applyBorder="1"/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66" xfId="0" applyFont="1" applyFill="1" applyBorder="1" applyAlignment="1">
      <alignment horizontal="center" wrapText="1"/>
    </xf>
    <xf numFmtId="0" fontId="26" fillId="0" borderId="79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26" fillId="0" borderId="7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 wrapText="1"/>
    </xf>
    <xf numFmtId="0" fontId="26" fillId="0" borderId="52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76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 wrapText="1"/>
    </xf>
    <xf numFmtId="0" fontId="26" fillId="0" borderId="71" xfId="0" applyFont="1" applyFill="1" applyBorder="1" applyAlignment="1">
      <alignment horizontal="center"/>
    </xf>
    <xf numFmtId="0" fontId="26" fillId="0" borderId="76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13" fillId="0" borderId="41" xfId="0" applyFont="1" applyFill="1" applyBorder="1"/>
    <xf numFmtId="0" fontId="13" fillId="0" borderId="42" xfId="0" applyFont="1" applyFill="1" applyBorder="1"/>
    <xf numFmtId="0" fontId="8" fillId="0" borderId="26" xfId="0" applyFont="1" applyFill="1" applyBorder="1"/>
    <xf numFmtId="0" fontId="8" fillId="0" borderId="10" xfId="0" applyFont="1" applyFill="1" applyBorder="1"/>
    <xf numFmtId="164" fontId="13" fillId="0" borderId="0" xfId="0" applyNumberFormat="1" applyFont="1" applyFill="1"/>
    <xf numFmtId="0" fontId="26" fillId="0" borderId="9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26" fillId="0" borderId="25" xfId="0" applyFont="1" applyBorder="1"/>
    <xf numFmtId="0" fontId="26" fillId="0" borderId="24" xfId="0" applyFont="1" applyBorder="1"/>
    <xf numFmtId="0" fontId="26" fillId="0" borderId="34" xfId="0" applyFont="1" applyFill="1" applyBorder="1"/>
    <xf numFmtId="0" fontId="26" fillId="0" borderId="40" xfId="0" applyFont="1" applyFill="1" applyBorder="1"/>
    <xf numFmtId="0" fontId="26" fillId="0" borderId="45" xfId="0" applyFont="1" applyFill="1" applyBorder="1"/>
    <xf numFmtId="0" fontId="26" fillId="0" borderId="25" xfId="0" applyFont="1" applyFill="1" applyBorder="1"/>
    <xf numFmtId="164" fontId="26" fillId="0" borderId="54" xfId="0" applyNumberFormat="1" applyFont="1" applyFill="1" applyBorder="1"/>
    <xf numFmtId="0" fontId="26" fillId="0" borderId="9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/>
    </xf>
    <xf numFmtId="164" fontId="51" fillId="0" borderId="38" xfId="4" applyNumberFormat="1" applyFont="1" applyFill="1" applyBorder="1"/>
    <xf numFmtId="164" fontId="18" fillId="0" borderId="38" xfId="0" applyNumberFormat="1" applyFont="1" applyFill="1" applyBorder="1" applyAlignment="1" applyProtection="1">
      <alignment horizontal="right"/>
      <protection locked="0"/>
    </xf>
    <xf numFmtId="0" fontId="52" fillId="0" borderId="56" xfId="0" applyFont="1" applyBorder="1" applyAlignment="1">
      <alignment horizontal="center" vertical="center" wrapText="1"/>
    </xf>
    <xf numFmtId="0" fontId="52" fillId="0" borderId="80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164" fontId="25" fillId="0" borderId="37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76" xfId="0" applyFont="1" applyFill="1" applyBorder="1" applyAlignment="1">
      <alignment horizontal="center" wrapText="1"/>
    </xf>
    <xf numFmtId="0" fontId="6" fillId="0" borderId="72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wrapText="1"/>
    </xf>
    <xf numFmtId="0" fontId="22" fillId="0" borderId="16" xfId="0" applyFont="1" applyFill="1" applyBorder="1" applyAlignment="1">
      <alignment horizont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22" fillId="0" borderId="76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164" fontId="26" fillId="0" borderId="34" xfId="6" applyNumberFormat="1" applyFont="1" applyFill="1" applyBorder="1" applyAlignment="1">
      <alignment horizontal="center" vertical="center" wrapText="1"/>
    </xf>
    <xf numFmtId="164" fontId="22" fillId="0" borderId="22" xfId="0" applyNumberFormat="1" applyFont="1" applyFill="1" applyBorder="1" applyAlignment="1">
      <alignment horizontal="right" vertical="center" wrapText="1"/>
    </xf>
    <xf numFmtId="164" fontId="22" fillId="0" borderId="26" xfId="0" applyNumberFormat="1" applyFont="1" applyFill="1" applyBorder="1" applyAlignment="1">
      <alignment horizontal="right" vertical="center" wrapText="1"/>
    </xf>
    <xf numFmtId="164" fontId="22" fillId="0" borderId="54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wrapText="1"/>
    </xf>
    <xf numFmtId="0" fontId="22" fillId="0" borderId="29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2" fillId="0" borderId="51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164" fontId="22" fillId="0" borderId="28" xfId="0" applyNumberFormat="1" applyFont="1" applyFill="1" applyBorder="1" applyAlignment="1">
      <alignment horizontal="center" vertical="center" wrapText="1"/>
    </xf>
    <xf numFmtId="164" fontId="22" fillId="0" borderId="31" xfId="0" applyNumberFormat="1" applyFont="1" applyFill="1" applyBorder="1" applyAlignment="1">
      <alignment horizontal="center" vertical="center" wrapText="1"/>
    </xf>
    <xf numFmtId="164" fontId="28" fillId="0" borderId="11" xfId="0" applyNumberFormat="1" applyFont="1" applyFill="1" applyBorder="1"/>
    <xf numFmtId="0" fontId="62" fillId="0" borderId="0" xfId="0" applyFont="1" applyFill="1"/>
    <xf numFmtId="0" fontId="0" fillId="0" borderId="0" xfId="0" applyFill="1" applyAlignment="1">
      <alignment horizontal="right"/>
    </xf>
    <xf numFmtId="164" fontId="26" fillId="0" borderId="35" xfId="0" applyNumberFormat="1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79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54" xfId="0" applyFont="1" applyFill="1" applyBorder="1" applyAlignment="1">
      <alignment horizontal="center" wrapText="1"/>
    </xf>
    <xf numFmtId="0" fontId="22" fillId="0" borderId="69" xfId="0" applyFont="1" applyFill="1" applyBorder="1" applyAlignment="1">
      <alignment horizontal="center" wrapText="1"/>
    </xf>
    <xf numFmtId="0" fontId="22" fillId="0" borderId="70" xfId="0" applyFont="1" applyFill="1" applyBorder="1" applyAlignment="1">
      <alignment horizontal="center" wrapText="1"/>
    </xf>
    <xf numFmtId="164" fontId="22" fillId="0" borderId="10" xfId="0" applyNumberFormat="1" applyFont="1" applyFill="1" applyBorder="1" applyAlignment="1">
      <alignment horizontal="right" vertical="center" wrapText="1"/>
    </xf>
    <xf numFmtId="164" fontId="57" fillId="0" borderId="6" xfId="0" applyNumberFormat="1" applyFont="1" applyFill="1" applyBorder="1" applyAlignment="1">
      <alignment horizontal="right" vertical="center" wrapText="1"/>
    </xf>
    <xf numFmtId="164" fontId="58" fillId="0" borderId="7" xfId="0" applyNumberFormat="1" applyFont="1" applyFill="1" applyBorder="1" applyAlignment="1">
      <alignment horizontal="right" vertical="center" wrapText="1"/>
    </xf>
    <xf numFmtId="164" fontId="58" fillId="0" borderId="2" xfId="0" applyNumberFormat="1" applyFont="1" applyFill="1" applyBorder="1" applyAlignment="1">
      <alignment horizontal="right" vertical="center" wrapText="1"/>
    </xf>
    <xf numFmtId="164" fontId="58" fillId="0" borderId="29" xfId="0" applyNumberFormat="1" applyFont="1" applyFill="1" applyBorder="1" applyAlignment="1">
      <alignment horizontal="right" vertical="center" wrapText="1"/>
    </xf>
    <xf numFmtId="164" fontId="57" fillId="0" borderId="5" xfId="0" applyNumberFormat="1" applyFont="1" applyFill="1" applyBorder="1" applyAlignment="1">
      <alignment horizontal="right" vertical="center" wrapText="1"/>
    </xf>
    <xf numFmtId="0" fontId="68" fillId="0" borderId="0" xfId="0" applyFont="1" applyFill="1"/>
    <xf numFmtId="164" fontId="58" fillId="0" borderId="35" xfId="0" applyNumberFormat="1" applyFont="1" applyFill="1" applyBorder="1" applyAlignment="1">
      <alignment horizontal="right" vertical="center" wrapText="1"/>
    </xf>
    <xf numFmtId="164" fontId="58" fillId="0" borderId="28" xfId="0" applyNumberFormat="1" applyFont="1" applyFill="1" applyBorder="1" applyAlignment="1">
      <alignment horizontal="right" vertical="center" wrapText="1"/>
    </xf>
    <xf numFmtId="164" fontId="58" fillId="0" borderId="36" xfId="0" applyNumberFormat="1" applyFont="1" applyFill="1" applyBorder="1" applyAlignment="1">
      <alignment horizontal="right" vertical="center" wrapText="1"/>
    </xf>
    <xf numFmtId="164" fontId="57" fillId="0" borderId="34" xfId="0" applyNumberFormat="1" applyFont="1" applyFill="1" applyBorder="1" applyAlignment="1">
      <alignment horizontal="right" vertical="center" wrapText="1"/>
    </xf>
    <xf numFmtId="164" fontId="57" fillId="0" borderId="57" xfId="0" applyNumberFormat="1" applyFont="1" applyFill="1" applyBorder="1" applyAlignment="1">
      <alignment horizontal="right" vertical="center" wrapText="1"/>
    </xf>
    <xf numFmtId="164" fontId="57" fillId="0" borderId="38" xfId="0" applyNumberFormat="1" applyFont="1" applyFill="1" applyBorder="1" applyAlignment="1">
      <alignment horizontal="right" vertical="center" wrapText="1"/>
    </xf>
    <xf numFmtId="164" fontId="58" fillId="0" borderId="35" xfId="0" applyNumberFormat="1" applyFont="1" applyFill="1" applyBorder="1" applyAlignment="1">
      <alignment horizontal="center" vertical="center" wrapText="1"/>
    </xf>
    <xf numFmtId="164" fontId="58" fillId="0" borderId="28" xfId="0" applyNumberFormat="1" applyFont="1" applyFill="1" applyBorder="1" applyAlignment="1">
      <alignment horizontal="center" vertical="center" wrapText="1"/>
    </xf>
    <xf numFmtId="164" fontId="58" fillId="0" borderId="36" xfId="0" applyNumberFormat="1" applyFont="1" applyFill="1" applyBorder="1" applyAlignment="1">
      <alignment horizontal="center" vertical="center" wrapText="1"/>
    </xf>
    <xf numFmtId="0" fontId="57" fillId="0" borderId="30" xfId="6" applyFont="1" applyFill="1" applyBorder="1" applyAlignment="1">
      <alignment horizontal="right" vertical="center" wrapText="1"/>
    </xf>
    <xf numFmtId="0" fontId="69" fillId="0" borderId="35" xfId="6" applyFont="1" applyFill="1" applyBorder="1" applyAlignment="1">
      <alignment horizontal="right" vertical="center" wrapText="1"/>
    </xf>
    <xf numFmtId="0" fontId="69" fillId="0" borderId="28" xfId="6" applyFont="1" applyFill="1" applyBorder="1" applyAlignment="1">
      <alignment horizontal="right" vertical="center" wrapText="1"/>
    </xf>
    <xf numFmtId="0" fontId="69" fillId="0" borderId="36" xfId="6" applyFont="1" applyFill="1" applyBorder="1" applyAlignment="1">
      <alignment horizontal="right" vertical="center" wrapText="1"/>
    </xf>
    <xf numFmtId="164" fontId="70" fillId="0" borderId="36" xfId="0" applyNumberFormat="1" applyFont="1" applyFill="1" applyBorder="1" applyAlignment="1">
      <alignment horizontal="right" vertical="center" wrapText="1"/>
    </xf>
    <xf numFmtId="0" fontId="69" fillId="0" borderId="0" xfId="0" applyFont="1" applyFill="1"/>
    <xf numFmtId="164" fontId="57" fillId="0" borderId="47" xfId="0" applyNumberFormat="1" applyFont="1" applyFill="1" applyBorder="1" applyAlignment="1">
      <alignment horizontal="right" vertical="center" wrapText="1"/>
    </xf>
    <xf numFmtId="164" fontId="57" fillId="0" borderId="81" xfId="0" applyNumberFormat="1" applyFont="1" applyFill="1" applyBorder="1" applyAlignment="1">
      <alignment horizontal="right" vertical="center" wrapText="1"/>
    </xf>
    <xf numFmtId="164" fontId="57" fillId="0" borderId="82" xfId="0" applyNumberFormat="1" applyFont="1" applyFill="1" applyBorder="1" applyAlignment="1">
      <alignment horizontal="right" vertical="center" wrapText="1"/>
    </xf>
    <xf numFmtId="164" fontId="57" fillId="0" borderId="41" xfId="0" applyNumberFormat="1" applyFont="1" applyFill="1" applyBorder="1" applyAlignment="1">
      <alignment horizontal="right" vertical="center" wrapText="1"/>
    </xf>
    <xf numFmtId="0" fontId="71" fillId="0" borderId="0" xfId="0" applyFont="1" applyFill="1" applyAlignment="1">
      <alignment horizontal="right"/>
    </xf>
    <xf numFmtId="0" fontId="69" fillId="0" borderId="71" xfId="0" applyFont="1" applyFill="1" applyBorder="1" applyAlignment="1">
      <alignment horizontal="right"/>
    </xf>
    <xf numFmtId="0" fontId="71" fillId="0" borderId="75" xfId="0" applyFont="1" applyFill="1" applyBorder="1" applyAlignment="1">
      <alignment horizontal="right"/>
    </xf>
    <xf numFmtId="0" fontId="57" fillId="0" borderId="30" xfId="0" applyFont="1" applyFill="1" applyBorder="1" applyAlignment="1">
      <alignment horizontal="right" vertical="center" wrapText="1"/>
    </xf>
    <xf numFmtId="164" fontId="58" fillId="0" borderId="41" xfId="0" applyNumberFormat="1" applyFont="1" applyFill="1" applyBorder="1" applyAlignment="1">
      <alignment horizontal="right" vertical="center" wrapText="1"/>
    </xf>
    <xf numFmtId="164" fontId="58" fillId="0" borderId="37" xfId="0" applyNumberFormat="1" applyFont="1" applyFill="1" applyBorder="1" applyAlignment="1">
      <alignment horizontal="right" vertical="center" wrapText="1"/>
    </xf>
    <xf numFmtId="164" fontId="58" fillId="0" borderId="42" xfId="0" applyNumberFormat="1" applyFont="1" applyFill="1" applyBorder="1" applyAlignment="1">
      <alignment horizontal="right" vertical="center" wrapText="1"/>
    </xf>
    <xf numFmtId="0" fontId="69" fillId="0" borderId="35" xfId="0" applyFont="1" applyFill="1" applyBorder="1" applyAlignment="1">
      <alignment horizontal="right" vertical="center" wrapText="1"/>
    </xf>
    <xf numFmtId="0" fontId="69" fillId="0" borderId="28" xfId="0" applyFont="1" applyFill="1" applyBorder="1" applyAlignment="1">
      <alignment horizontal="right" vertical="center" wrapText="1"/>
    </xf>
    <xf numFmtId="0" fontId="69" fillId="0" borderId="36" xfId="0" applyFont="1" applyFill="1" applyBorder="1" applyAlignment="1">
      <alignment horizontal="right" vertical="center" wrapText="1"/>
    </xf>
    <xf numFmtId="164" fontId="57" fillId="0" borderId="23" xfId="0" applyNumberFormat="1" applyFont="1" applyFill="1" applyBorder="1" applyAlignment="1">
      <alignment horizontal="right" vertical="center" wrapText="1"/>
    </xf>
    <xf numFmtId="164" fontId="58" fillId="0" borderId="26" xfId="0" applyNumberFormat="1" applyFont="1" applyFill="1" applyBorder="1" applyAlignment="1">
      <alignment horizontal="right" vertical="center" wrapText="1"/>
    </xf>
    <xf numFmtId="164" fontId="58" fillId="0" borderId="22" xfId="0" applyNumberFormat="1" applyFont="1" applyFill="1" applyBorder="1" applyAlignment="1">
      <alignment horizontal="right" vertical="center" wrapText="1"/>
    </xf>
    <xf numFmtId="164" fontId="58" fillId="0" borderId="12" xfId="0" applyNumberFormat="1" applyFont="1" applyFill="1" applyBorder="1" applyAlignment="1">
      <alignment horizontal="right" vertical="center" wrapText="1"/>
    </xf>
    <xf numFmtId="164" fontId="57" fillId="0" borderId="0" xfId="0" applyNumberFormat="1" applyFont="1" applyFill="1" applyBorder="1" applyAlignment="1">
      <alignment horizontal="right" vertical="center" wrapText="1"/>
    </xf>
    <xf numFmtId="164" fontId="58" fillId="0" borderId="0" xfId="0" applyNumberFormat="1" applyFont="1" applyFill="1" applyBorder="1" applyAlignment="1">
      <alignment horizontal="right" vertical="center" wrapText="1"/>
    </xf>
    <xf numFmtId="164" fontId="73" fillId="0" borderId="0" xfId="0" applyNumberFormat="1" applyFont="1" applyFill="1" applyBorder="1" applyAlignment="1">
      <alignment horizontal="center" vertical="center" wrapText="1"/>
    </xf>
    <xf numFmtId="164" fontId="58" fillId="0" borderId="0" xfId="0" applyNumberFormat="1" applyFont="1" applyFill="1" applyBorder="1" applyAlignment="1">
      <alignment horizontal="center" vertical="center" wrapText="1"/>
    </xf>
    <xf numFmtId="164" fontId="74" fillId="0" borderId="0" xfId="0" applyNumberFormat="1" applyFont="1" applyFill="1" applyBorder="1" applyAlignment="1">
      <alignment horizontal="center"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57" fillId="0" borderId="61" xfId="0" applyFont="1" applyFill="1" applyBorder="1" applyAlignment="1">
      <alignment horizontal="center" vertical="center" wrapText="1"/>
    </xf>
    <xf numFmtId="0" fontId="57" fillId="0" borderId="66" xfId="0" applyFont="1" applyFill="1" applyBorder="1" applyAlignment="1">
      <alignment horizontal="center" wrapText="1"/>
    </xf>
    <xf numFmtId="0" fontId="57" fillId="0" borderId="29" xfId="0" applyFont="1" applyFill="1" applyBorder="1" applyAlignment="1">
      <alignment horizontal="center" wrapText="1"/>
    </xf>
    <xf numFmtId="0" fontId="57" fillId="0" borderId="5" xfId="0" applyFont="1" applyFill="1" applyBorder="1" applyAlignment="1">
      <alignment horizontal="center" wrapText="1"/>
    </xf>
    <xf numFmtId="0" fontId="57" fillId="0" borderId="7" xfId="0" applyFont="1" applyFill="1" applyBorder="1" applyAlignment="1">
      <alignment horizontal="center" wrapText="1"/>
    </xf>
    <xf numFmtId="0" fontId="57" fillId="0" borderId="29" xfId="0" applyFont="1" applyFill="1" applyBorder="1" applyAlignment="1">
      <alignment horizontal="center" vertical="center" wrapText="1"/>
    </xf>
    <xf numFmtId="0" fontId="58" fillId="0" borderId="73" xfId="0" applyFont="1" applyFill="1" applyBorder="1" applyAlignment="1">
      <alignment horizontal="center" vertical="center" wrapText="1"/>
    </xf>
    <xf numFmtId="0" fontId="57" fillId="0" borderId="69" xfId="0" applyFont="1" applyFill="1" applyBorder="1" applyAlignment="1">
      <alignment horizontal="center" vertical="center" wrapText="1"/>
    </xf>
    <xf numFmtId="0" fontId="57" fillId="0" borderId="70" xfId="0" applyFont="1" applyFill="1" applyBorder="1" applyAlignment="1">
      <alignment horizontal="center" vertical="center" wrapText="1"/>
    </xf>
    <xf numFmtId="0" fontId="57" fillId="0" borderId="7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0" fontId="57" fillId="0" borderId="76" xfId="0" applyFont="1" applyFill="1" applyBorder="1" applyAlignment="1">
      <alignment horizontal="center" wrapText="1"/>
    </xf>
    <xf numFmtId="0" fontId="57" fillId="0" borderId="72" xfId="0" applyFont="1" applyFill="1" applyBorder="1" applyAlignment="1">
      <alignment horizontal="center" wrapText="1"/>
    </xf>
    <xf numFmtId="0" fontId="57" fillId="0" borderId="75" xfId="0" applyFont="1" applyFill="1" applyBorder="1" applyAlignment="1">
      <alignment horizontal="center" vertical="center" wrapText="1"/>
    </xf>
    <xf numFmtId="0" fontId="58" fillId="0" borderId="71" xfId="0" applyFont="1" applyFill="1" applyBorder="1" applyAlignment="1">
      <alignment horizontal="center" vertical="center" wrapText="1"/>
    </xf>
    <xf numFmtId="0" fontId="57" fillId="0" borderId="70" xfId="0" applyFont="1" applyFill="1" applyBorder="1" applyAlignment="1">
      <alignment horizontal="right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68" xfId="0" applyFont="1" applyFill="1" applyBorder="1" applyAlignment="1">
      <alignment horizontal="center" vertical="center" wrapText="1"/>
    </xf>
    <xf numFmtId="0" fontId="57" fillId="0" borderId="63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51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164" fontId="58" fillId="0" borderId="31" xfId="0" applyNumberFormat="1" applyFont="1" applyFill="1" applyBorder="1" applyAlignment="1">
      <alignment horizontal="center" vertical="center" wrapText="1"/>
    </xf>
    <xf numFmtId="164" fontId="58" fillId="0" borderId="31" xfId="0" applyNumberFormat="1" applyFont="1" applyFill="1" applyBorder="1" applyAlignment="1">
      <alignment horizontal="right" vertical="center" wrapText="1"/>
    </xf>
    <xf numFmtId="0" fontId="69" fillId="0" borderId="31" xfId="6" applyFont="1" applyFill="1" applyBorder="1" applyAlignment="1">
      <alignment horizontal="right" vertical="center" wrapText="1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/>
    <xf numFmtId="0" fontId="72" fillId="0" borderId="11" xfId="0" applyFont="1" applyFill="1" applyBorder="1"/>
    <xf numFmtId="0" fontId="69" fillId="0" borderId="12" xfId="0" applyFont="1" applyFill="1" applyBorder="1" applyAlignment="1">
      <alignment horizontal="right"/>
    </xf>
    <xf numFmtId="0" fontId="57" fillId="0" borderId="63" xfId="0" applyFont="1" applyFill="1" applyBorder="1" applyAlignment="1">
      <alignment horizontal="right" vertical="center" wrapText="1"/>
    </xf>
    <xf numFmtId="0" fontId="57" fillId="0" borderId="34" xfId="6" applyFont="1" applyFill="1" applyBorder="1" applyAlignment="1">
      <alignment horizontal="right" vertical="center" wrapText="1"/>
    </xf>
    <xf numFmtId="164" fontId="57" fillId="0" borderId="83" xfId="0" applyNumberFormat="1" applyFont="1" applyFill="1" applyBorder="1" applyAlignment="1">
      <alignment horizontal="right" vertical="center" wrapText="1"/>
    </xf>
    <xf numFmtId="0" fontId="57" fillId="0" borderId="34" xfId="0" applyFont="1" applyFill="1" applyBorder="1" applyAlignment="1">
      <alignment horizontal="right" vertical="center" wrapText="1"/>
    </xf>
    <xf numFmtId="164" fontId="57" fillId="0" borderId="25" xfId="0" applyNumberFormat="1" applyFont="1" applyFill="1" applyBorder="1" applyAlignment="1">
      <alignment horizontal="right" vertical="center" wrapText="1"/>
    </xf>
    <xf numFmtId="0" fontId="57" fillId="0" borderId="57" xfId="6" applyFont="1" applyFill="1" applyBorder="1" applyAlignment="1">
      <alignment horizontal="right" vertical="center" wrapText="1"/>
    </xf>
    <xf numFmtId="164" fontId="73" fillId="0" borderId="70" xfId="0" applyNumberFormat="1" applyFont="1" applyFill="1" applyBorder="1" applyAlignment="1">
      <alignment horizontal="center" vertical="center" wrapText="1"/>
    </xf>
    <xf numFmtId="0" fontId="69" fillId="0" borderId="54" xfId="0" applyFont="1" applyFill="1" applyBorder="1"/>
    <xf numFmtId="164" fontId="57" fillId="0" borderId="35" xfId="0" applyNumberFormat="1" applyFont="1" applyFill="1" applyBorder="1" applyAlignment="1">
      <alignment horizontal="left" vertical="center" wrapText="1"/>
    </xf>
    <xf numFmtId="0" fontId="57" fillId="0" borderId="35" xfId="6" applyFont="1" applyFill="1" applyBorder="1" applyAlignment="1">
      <alignment horizontal="left" vertical="center" wrapText="1"/>
    </xf>
    <xf numFmtId="0" fontId="57" fillId="0" borderId="35" xfId="0" applyFont="1" applyFill="1" applyBorder="1" applyAlignment="1">
      <alignment horizontal="left" vertical="center" wrapText="1"/>
    </xf>
    <xf numFmtId="164" fontId="58" fillId="0" borderId="57" xfId="0" applyNumberFormat="1" applyFont="1" applyFill="1" applyBorder="1" applyAlignment="1">
      <alignment horizontal="right" vertical="center" wrapText="1"/>
    </xf>
    <xf numFmtId="164" fontId="58" fillId="0" borderId="70" xfId="0" applyNumberFormat="1" applyFont="1" applyFill="1" applyBorder="1" applyAlignment="1">
      <alignment horizontal="center" vertical="center" wrapText="1"/>
    </xf>
    <xf numFmtId="0" fontId="70" fillId="0" borderId="57" xfId="6" applyFont="1" applyFill="1" applyBorder="1" applyAlignment="1">
      <alignment horizontal="right" vertical="center" wrapText="1"/>
    </xf>
    <xf numFmtId="0" fontId="57" fillId="0" borderId="67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164" fontId="58" fillId="0" borderId="32" xfId="0" applyNumberFormat="1" applyFont="1" applyFill="1" applyBorder="1" applyAlignment="1">
      <alignment horizontal="center" vertical="center" wrapText="1"/>
    </xf>
    <xf numFmtId="164" fontId="58" fillId="0" borderId="32" xfId="0" applyNumberFormat="1" applyFont="1" applyFill="1" applyBorder="1" applyAlignment="1">
      <alignment horizontal="right" vertical="center" wrapText="1"/>
    </xf>
    <xf numFmtId="164" fontId="28" fillId="0" borderId="10" xfId="0" applyNumberFormat="1" applyFont="1" applyFill="1" applyBorder="1"/>
    <xf numFmtId="0" fontId="28" fillId="0" borderId="12" xfId="0" applyFont="1" applyFill="1" applyBorder="1"/>
    <xf numFmtId="0" fontId="28" fillId="0" borderId="10" xfId="0" applyFont="1" applyFill="1" applyBorder="1"/>
    <xf numFmtId="0" fontId="57" fillId="0" borderId="70" xfId="0" applyFont="1" applyFill="1" applyBorder="1" applyAlignment="1">
      <alignment horizontal="right" vertical="center" wrapText="1"/>
    </xf>
    <xf numFmtId="164" fontId="60" fillId="0" borderId="7" xfId="0" applyNumberFormat="1" applyFont="1" applyFill="1" applyBorder="1" applyAlignment="1">
      <alignment horizontal="left" vertical="center" wrapText="1"/>
    </xf>
    <xf numFmtId="164" fontId="18" fillId="0" borderId="61" xfId="0" applyNumberFormat="1" applyFont="1" applyFill="1" applyBorder="1" applyAlignment="1">
      <alignment horizontal="right" vertical="center" wrapText="1"/>
    </xf>
    <xf numFmtId="164" fontId="60" fillId="0" borderId="61" xfId="0" applyNumberFormat="1" applyFont="1" applyFill="1" applyBorder="1" applyAlignment="1">
      <alignment horizontal="right" vertical="center" wrapText="1"/>
    </xf>
    <xf numFmtId="164" fontId="60" fillId="0" borderId="35" xfId="0" applyNumberFormat="1" applyFont="1" applyFill="1" applyBorder="1" applyAlignment="1">
      <alignment horizontal="left" vertical="center" wrapText="1"/>
    </xf>
    <xf numFmtId="164" fontId="18" fillId="0" borderId="60" xfId="0" applyNumberFormat="1" applyFont="1" applyFill="1" applyBorder="1" applyAlignment="1">
      <alignment horizontal="right" vertical="center" wrapText="1"/>
    </xf>
    <xf numFmtId="164" fontId="60" fillId="0" borderId="57" xfId="0" applyNumberFormat="1" applyFont="1" applyFill="1" applyBorder="1" applyAlignment="1">
      <alignment horizontal="right" vertical="center" wrapText="1"/>
    </xf>
    <xf numFmtId="164" fontId="18" fillId="0" borderId="57" xfId="0" applyNumberFormat="1" applyFont="1" applyFill="1" applyBorder="1" applyAlignment="1">
      <alignment horizontal="right" vertical="center" wrapText="1"/>
    </xf>
    <xf numFmtId="164" fontId="18" fillId="0" borderId="57" xfId="0" applyNumberFormat="1" applyFont="1" applyFill="1" applyBorder="1" applyAlignment="1">
      <alignment horizontal="right" vertical="center" wrapText="1"/>
    </xf>
    <xf numFmtId="0" fontId="60" fillId="0" borderId="49" xfId="0" applyNumberFormat="1" applyFont="1" applyFill="1" applyBorder="1" applyAlignment="1">
      <alignment horizontal="center" vertical="center" wrapText="1"/>
    </xf>
    <xf numFmtId="0" fontId="60" fillId="0" borderId="47" xfId="6" applyFont="1" applyFill="1" applyBorder="1" applyAlignment="1">
      <alignment horizontal="left" vertical="center" wrapText="1"/>
    </xf>
    <xf numFmtId="0" fontId="60" fillId="0" borderId="60" xfId="6" applyFont="1" applyFill="1" applyBorder="1" applyAlignment="1">
      <alignment horizontal="right" vertical="center" wrapText="1"/>
    </xf>
    <xf numFmtId="0" fontId="60" fillId="0" borderId="71" xfId="0" applyNumberFormat="1" applyFont="1" applyFill="1" applyBorder="1" applyAlignment="1">
      <alignment horizontal="center" vertical="center" wrapText="1"/>
    </xf>
    <xf numFmtId="0" fontId="60" fillId="0" borderId="72" xfId="6" applyFont="1" applyFill="1" applyBorder="1" applyAlignment="1">
      <alignment horizontal="left" vertical="center" wrapText="1"/>
    </xf>
    <xf numFmtId="0" fontId="60" fillId="0" borderId="70" xfId="6" applyFont="1" applyFill="1" applyBorder="1" applyAlignment="1">
      <alignment horizontal="right" vertical="center" wrapText="1"/>
    </xf>
    <xf numFmtId="0" fontId="60" fillId="0" borderId="57" xfId="6" applyFont="1" applyFill="1" applyBorder="1" applyAlignment="1">
      <alignment horizontal="right" vertical="center" wrapText="1"/>
    </xf>
    <xf numFmtId="0" fontId="60" fillId="0" borderId="28" xfId="0" applyNumberFormat="1" applyFont="1" applyFill="1" applyBorder="1" applyAlignment="1">
      <alignment horizontal="center" vertical="center" wrapText="1"/>
    </xf>
    <xf numFmtId="0" fontId="60" fillId="0" borderId="35" xfId="6" applyFont="1" applyFill="1" applyBorder="1" applyAlignment="1">
      <alignment horizontal="left" vertical="center" wrapText="1"/>
    </xf>
    <xf numFmtId="0" fontId="60" fillId="0" borderId="57" xfId="6" applyFont="1" applyFill="1" applyBorder="1" applyAlignment="1">
      <alignment horizontal="right" vertical="center" wrapText="1"/>
    </xf>
    <xf numFmtId="0" fontId="60" fillId="0" borderId="47" xfId="0" applyFont="1" applyFill="1" applyBorder="1" applyAlignment="1">
      <alignment horizontal="left" vertical="center" wrapText="1"/>
    </xf>
    <xf numFmtId="0" fontId="60" fillId="0" borderId="72" xfId="0" applyFont="1" applyFill="1" applyBorder="1" applyAlignment="1">
      <alignment horizontal="left" vertical="center" wrapText="1"/>
    </xf>
    <xf numFmtId="164" fontId="18" fillId="0" borderId="70" xfId="0" applyNumberFormat="1" applyFont="1" applyFill="1" applyBorder="1" applyAlignment="1">
      <alignment horizontal="right" vertical="center" wrapText="1"/>
    </xf>
    <xf numFmtId="0" fontId="60" fillId="0" borderId="35" xfId="0" applyFont="1" applyFill="1" applyBorder="1" applyAlignment="1">
      <alignment horizontal="left" vertical="center" wrapText="1"/>
    </xf>
    <xf numFmtId="0" fontId="60" fillId="0" borderId="35" xfId="0" applyFont="1" applyFill="1" applyBorder="1" applyAlignment="1">
      <alignment horizontal="left" vertical="center" wrapText="1"/>
    </xf>
    <xf numFmtId="164" fontId="60" fillId="0" borderId="47" xfId="0" applyNumberFormat="1" applyFont="1" applyFill="1" applyBorder="1" applyAlignment="1">
      <alignment horizontal="left" vertical="center" wrapText="1"/>
    </xf>
    <xf numFmtId="164" fontId="18" fillId="0" borderId="60" xfId="0" applyNumberFormat="1" applyFont="1" applyFill="1" applyBorder="1" applyAlignment="1">
      <alignment horizontal="right" vertical="center"/>
    </xf>
    <xf numFmtId="164" fontId="60" fillId="0" borderId="72" xfId="0" applyNumberFormat="1" applyFont="1" applyFill="1" applyBorder="1" applyAlignment="1">
      <alignment horizontal="left" vertical="center" wrapText="1"/>
    </xf>
    <xf numFmtId="164" fontId="18" fillId="0" borderId="70" xfId="0" applyNumberFormat="1" applyFont="1" applyFill="1" applyBorder="1" applyAlignment="1">
      <alignment horizontal="right" vertical="center"/>
    </xf>
    <xf numFmtId="164" fontId="60" fillId="0" borderId="35" xfId="0" applyNumberFormat="1" applyFont="1" applyFill="1" applyBorder="1" applyAlignment="1">
      <alignment horizontal="left" vertical="center" wrapText="1"/>
    </xf>
    <xf numFmtId="164" fontId="18" fillId="0" borderId="57" xfId="0" applyNumberFormat="1" applyFont="1" applyFill="1" applyBorder="1" applyAlignment="1">
      <alignment horizontal="right" vertical="center"/>
    </xf>
    <xf numFmtId="164" fontId="60" fillId="0" borderId="47" xfId="0" applyNumberFormat="1" applyFont="1" applyFill="1" applyBorder="1" applyAlignment="1">
      <alignment horizontal="left" vertical="center" wrapText="1"/>
    </xf>
    <xf numFmtId="164" fontId="18" fillId="0" borderId="60" xfId="0" applyNumberFormat="1" applyFont="1" applyFill="1" applyBorder="1" applyAlignment="1">
      <alignment horizontal="right" vertical="center" wrapText="1"/>
    </xf>
    <xf numFmtId="164" fontId="60" fillId="0" borderId="60" xfId="0" applyNumberFormat="1" applyFont="1" applyFill="1" applyBorder="1" applyAlignment="1">
      <alignment horizontal="right" vertical="center" wrapText="1"/>
    </xf>
    <xf numFmtId="0" fontId="60" fillId="0" borderId="41" xfId="0" applyFont="1" applyFill="1" applyBorder="1" applyAlignment="1">
      <alignment horizontal="left" vertical="center" wrapText="1"/>
    </xf>
    <xf numFmtId="0" fontId="75" fillId="0" borderId="58" xfId="0" applyFont="1" applyFill="1" applyBorder="1" applyAlignment="1">
      <alignment horizontal="right" vertical="center" wrapText="1"/>
    </xf>
    <xf numFmtId="164" fontId="60" fillId="0" borderId="58" xfId="0" applyNumberFormat="1" applyFont="1" applyFill="1" applyBorder="1" applyAlignment="1">
      <alignment horizontal="right" vertical="center" wrapText="1"/>
    </xf>
    <xf numFmtId="164" fontId="58" fillId="0" borderId="75" xfId="0" applyNumberFormat="1" applyFont="1" applyFill="1" applyBorder="1" applyAlignment="1">
      <alignment horizontal="right" vertical="center" wrapText="1"/>
    </xf>
    <xf numFmtId="0" fontId="58" fillId="0" borderId="36" xfId="6" applyFont="1" applyFill="1" applyBorder="1" applyAlignment="1">
      <alignment vertical="center" wrapText="1"/>
    </xf>
    <xf numFmtId="1" fontId="58" fillId="0" borderId="36" xfId="0" applyNumberFormat="1" applyFont="1" applyFill="1" applyBorder="1" applyAlignment="1">
      <alignment horizontal="right" vertical="center" wrapText="1"/>
    </xf>
    <xf numFmtId="2" fontId="58" fillId="0" borderId="36" xfId="0" applyNumberFormat="1" applyFont="1" applyFill="1" applyBorder="1" applyAlignment="1">
      <alignment horizontal="right" vertical="center" wrapText="1"/>
    </xf>
    <xf numFmtId="164" fontId="58" fillId="0" borderId="9" xfId="0" applyNumberFormat="1" applyFont="1" applyFill="1" applyBorder="1" applyAlignment="1">
      <alignment horizontal="right" vertical="center" wrapText="1"/>
    </xf>
    <xf numFmtId="164" fontId="58" fillId="0" borderId="0" xfId="0" applyNumberFormat="1" applyFont="1" applyFill="1" applyBorder="1" applyAlignment="1">
      <alignment horizontal="right" vertical="top" wrapText="1"/>
    </xf>
    <xf numFmtId="0" fontId="58" fillId="0" borderId="29" xfId="0" applyFont="1" applyFill="1" applyBorder="1" applyAlignment="1">
      <alignment horizontal="right" vertical="center" wrapText="1"/>
    </xf>
    <xf numFmtId="0" fontId="58" fillId="0" borderId="75" xfId="0" applyFont="1" applyFill="1" applyBorder="1" applyAlignment="1">
      <alignment horizontal="right" vertical="center" wrapText="1"/>
    </xf>
    <xf numFmtId="0" fontId="58" fillId="0" borderId="51" xfId="0" applyFont="1" applyFill="1" applyBorder="1" applyAlignment="1">
      <alignment horizontal="right" vertical="center" wrapText="1"/>
    </xf>
    <xf numFmtId="164" fontId="58" fillId="0" borderId="34" xfId="0" applyNumberFormat="1" applyFont="1" applyFill="1" applyBorder="1" applyAlignment="1">
      <alignment horizontal="right" vertical="center" wrapText="1"/>
    </xf>
    <xf numFmtId="0" fontId="70" fillId="0" borderId="42" xfId="6" applyFont="1" applyFill="1" applyBorder="1" applyAlignment="1">
      <alignment horizontal="right" vertical="center" wrapText="1"/>
    </xf>
    <xf numFmtId="164" fontId="26" fillId="0" borderId="5" xfId="0" applyNumberFormat="1" applyFont="1" applyFill="1" applyBorder="1" applyAlignment="1">
      <alignment horizontal="right" vertical="center" wrapText="1"/>
    </xf>
    <xf numFmtId="164" fontId="26" fillId="0" borderId="7" xfId="0" applyNumberFormat="1" applyFont="1" applyFill="1" applyBorder="1" applyAlignment="1">
      <alignment horizontal="right" vertical="center" wrapText="1"/>
    </xf>
    <xf numFmtId="164" fontId="26" fillId="0" borderId="61" xfId="0" applyNumberFormat="1" applyFont="1" applyFill="1" applyBorder="1" applyAlignment="1">
      <alignment horizontal="right" vertical="center" wrapText="1"/>
    </xf>
    <xf numFmtId="164" fontId="26" fillId="0" borderId="34" xfId="0" applyNumberFormat="1" applyFont="1" applyFill="1" applyBorder="1" applyAlignment="1">
      <alignment horizontal="right" vertical="center" wrapText="1"/>
    </xf>
    <xf numFmtId="164" fontId="26" fillId="0" borderId="57" xfId="0" applyNumberFormat="1" applyFont="1" applyFill="1" applyBorder="1" applyAlignment="1">
      <alignment horizontal="right" vertical="center" wrapText="1"/>
    </xf>
    <xf numFmtId="164" fontId="26" fillId="0" borderId="34" xfId="0" applyNumberFormat="1" applyFont="1" applyFill="1" applyBorder="1" applyAlignment="1">
      <alignment horizontal="center" vertical="center" wrapText="1"/>
    </xf>
    <xf numFmtId="164" fontId="26" fillId="0" borderId="35" xfId="0" applyNumberFormat="1" applyFont="1" applyFill="1" applyBorder="1" applyAlignment="1">
      <alignment horizontal="center" vertical="center" wrapText="1"/>
    </xf>
    <xf numFmtId="164" fontId="26" fillId="0" borderId="52" xfId="0" applyNumberFormat="1" applyFont="1" applyFill="1" applyBorder="1" applyAlignment="1">
      <alignment horizontal="right" vertical="center" wrapText="1"/>
    </xf>
    <xf numFmtId="2" fontId="26" fillId="0" borderId="27" xfId="0" applyNumberFormat="1" applyFont="1" applyFill="1" applyBorder="1" applyAlignment="1">
      <alignment horizontal="right" vertical="center" wrapText="1"/>
    </xf>
    <xf numFmtId="2" fontId="26" fillId="0" borderId="52" xfId="0" applyNumberFormat="1" applyFont="1" applyFill="1" applyBorder="1" applyAlignment="1">
      <alignment horizontal="right" vertical="center" wrapText="1"/>
    </xf>
    <xf numFmtId="164" fontId="26" fillId="0" borderId="40" xfId="0" applyNumberFormat="1" applyFont="1" applyFill="1" applyBorder="1" applyAlignment="1">
      <alignment horizontal="right" vertical="center" wrapText="1"/>
    </xf>
    <xf numFmtId="164" fontId="26" fillId="0" borderId="41" xfId="0" applyNumberFormat="1" applyFont="1" applyFill="1" applyBorder="1" applyAlignment="1">
      <alignment horizontal="right" vertical="center" wrapText="1"/>
    </xf>
    <xf numFmtId="0" fontId="28" fillId="0" borderId="34" xfId="0" applyFont="1" applyFill="1" applyBorder="1" applyAlignment="1">
      <alignment horizontal="right" wrapText="1"/>
    </xf>
    <xf numFmtId="0" fontId="28" fillId="0" borderId="35" xfId="0" applyFont="1" applyFill="1" applyBorder="1" applyAlignment="1">
      <alignment horizontal="right" wrapText="1"/>
    </xf>
    <xf numFmtId="0" fontId="28" fillId="0" borderId="52" xfId="0" applyFont="1" applyFill="1" applyBorder="1" applyAlignment="1">
      <alignment horizontal="right" wrapText="1"/>
    </xf>
    <xf numFmtId="0" fontId="28" fillId="0" borderId="57" xfId="0" applyFont="1" applyFill="1" applyBorder="1" applyAlignment="1">
      <alignment horizontal="right" wrapText="1"/>
    </xf>
    <xf numFmtId="164" fontId="26" fillId="0" borderId="78" xfId="0" applyNumberFormat="1" applyFont="1" applyFill="1" applyBorder="1" applyAlignment="1">
      <alignment horizontal="right" vertical="center" wrapText="1"/>
    </xf>
    <xf numFmtId="164" fontId="26" fillId="0" borderId="79" xfId="0" applyNumberFormat="1" applyFont="1" applyFill="1" applyBorder="1" applyAlignment="1">
      <alignment horizontal="right" vertical="center" wrapText="1"/>
    </xf>
    <xf numFmtId="164" fontId="26" fillId="0" borderId="66" xfId="0" applyNumberFormat="1" applyFont="1" applyFill="1" applyBorder="1" applyAlignment="1">
      <alignment horizontal="right" vertical="center" wrapText="1"/>
    </xf>
    <xf numFmtId="164" fontId="73" fillId="0" borderId="73" xfId="0" applyNumberFormat="1" applyFont="1" applyFill="1" applyBorder="1" applyAlignment="1">
      <alignment horizontal="center" vertical="center" wrapText="1"/>
    </xf>
    <xf numFmtId="164" fontId="73" fillId="0" borderId="66" xfId="0" applyNumberFormat="1" applyFont="1" applyFill="1" applyBorder="1" applyAlignment="1">
      <alignment horizontal="center" vertical="center" wrapText="1"/>
    </xf>
    <xf numFmtId="164" fontId="73" fillId="0" borderId="66" xfId="0" applyNumberFormat="1" applyFont="1" applyFill="1" applyBorder="1" applyAlignment="1">
      <alignment horizontal="right" vertical="center" wrapText="1"/>
    </xf>
    <xf numFmtId="164" fontId="73" fillId="0" borderId="22" xfId="0" applyNumberFormat="1" applyFont="1" applyFill="1" applyBorder="1" applyAlignment="1">
      <alignment horizontal="center" vertical="center" wrapText="1"/>
    </xf>
    <xf numFmtId="164" fontId="73" fillId="0" borderId="54" xfId="0" applyNumberFormat="1" applyFont="1" applyFill="1" applyBorder="1" applyAlignment="1">
      <alignment horizontal="center" vertical="center" wrapText="1"/>
    </xf>
    <xf numFmtId="164" fontId="73" fillId="0" borderId="54" xfId="0" applyNumberFormat="1" applyFont="1" applyFill="1" applyBorder="1" applyAlignment="1">
      <alignment horizontal="right" vertical="center" wrapText="1"/>
    </xf>
    <xf numFmtId="164" fontId="73" fillId="0" borderId="8" xfId="0" applyNumberFormat="1" applyFont="1" applyFill="1" applyBorder="1" applyAlignment="1">
      <alignment horizontal="left" vertical="center" wrapText="1"/>
    </xf>
    <xf numFmtId="164" fontId="73" fillId="0" borderId="26" xfId="0" applyNumberFormat="1" applyFont="1" applyFill="1" applyBorder="1" applyAlignment="1">
      <alignment horizontal="left" vertical="center" wrapText="1"/>
    </xf>
    <xf numFmtId="0" fontId="52" fillId="0" borderId="73" xfId="0" applyFont="1" applyBorder="1" applyAlignment="1">
      <alignment horizontal="center" vertical="center"/>
    </xf>
    <xf numFmtId="0" fontId="52" fillId="0" borderId="74" xfId="0" applyFont="1" applyBorder="1" applyAlignment="1">
      <alignment horizontal="center" vertical="center"/>
    </xf>
    <xf numFmtId="0" fontId="51" fillId="0" borderId="31" xfId="0" applyFont="1" applyFill="1" applyBorder="1" applyAlignment="1">
      <alignment horizontal="center"/>
    </xf>
    <xf numFmtId="0" fontId="51" fillId="0" borderId="3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164" fontId="26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2" xfId="0" applyFont="1" applyFill="1" applyBorder="1" applyAlignment="1">
      <alignment wrapText="1"/>
    </xf>
  </cellXfs>
  <cellStyles count="7">
    <cellStyle name="TableStyleLight1" xfId="5"/>
    <cellStyle name="Обычный" xfId="0" builtinId="0"/>
    <cellStyle name="Обычный 2" xfId="1"/>
    <cellStyle name="Обычный 2 2" xfId="2"/>
    <cellStyle name="Обычный 2 2 2" xfId="6"/>
    <cellStyle name="Обычный 2 3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N134"/>
  <sheetViews>
    <sheetView tabSelected="1" topLeftCell="A6" zoomScaleNormal="100" workbookViewId="0">
      <pane xSplit="2" ySplit="5" topLeftCell="C104" activePane="bottomRight" state="frozen"/>
      <selection activeCell="A6" sqref="A6"/>
      <selection pane="topRight" activeCell="C6" sqref="C6"/>
      <selection pane="bottomLeft" activeCell="A11" sqref="A11"/>
      <selection pane="bottomRight" activeCell="E154" sqref="E154"/>
    </sheetView>
  </sheetViews>
  <sheetFormatPr defaultRowHeight="12.75" x14ac:dyDescent="0.2"/>
  <cols>
    <col min="1" max="1" width="5.28515625" customWidth="1"/>
    <col min="2" max="2" width="23.5703125" customWidth="1"/>
    <col min="3" max="3" width="9.42578125" customWidth="1"/>
    <col min="4" max="4" width="9.5703125" customWidth="1"/>
    <col min="5" max="5" width="9.28515625" customWidth="1"/>
    <col min="6" max="6" width="13.5703125" customWidth="1"/>
    <col min="7" max="7" width="9.7109375" hidden="1" customWidth="1"/>
    <col min="8" max="9" width="8.85546875" hidden="1" customWidth="1"/>
    <col min="10" max="10" width="17.42578125" hidden="1" customWidth="1"/>
    <col min="11" max="11" width="26" hidden="1" customWidth="1"/>
    <col min="12" max="12" width="34.7109375" hidden="1" customWidth="1"/>
    <col min="13" max="13" width="10.140625" customWidth="1"/>
    <col min="14" max="14" width="13.5703125" customWidth="1"/>
    <col min="248" max="248" width="5.28515625" customWidth="1"/>
    <col min="249" max="249" width="27.85546875" customWidth="1"/>
    <col min="250" max="250" width="9.42578125" customWidth="1"/>
    <col min="251" max="251" width="9.5703125" customWidth="1"/>
    <col min="252" max="252" width="9.7109375" customWidth="1"/>
    <col min="253" max="253" width="9.5703125" customWidth="1"/>
    <col min="254" max="254" width="9.28515625" customWidth="1"/>
    <col min="255" max="255" width="0" hidden="1" customWidth="1"/>
    <col min="256" max="257" width="9.7109375" customWidth="1"/>
    <col min="258" max="258" width="12.28515625" customWidth="1"/>
    <col min="259" max="259" width="28.42578125" customWidth="1"/>
    <col min="260" max="260" width="34.7109375" customWidth="1"/>
    <col min="261" max="261" width="25.85546875" customWidth="1"/>
    <col min="262" max="262" width="10.140625" customWidth="1"/>
    <col min="263" max="265" width="9.140625" customWidth="1"/>
    <col min="266" max="266" width="15.85546875" customWidth="1"/>
    <col min="504" max="504" width="5.28515625" customWidth="1"/>
    <col min="505" max="505" width="27.85546875" customWidth="1"/>
    <col min="506" max="506" width="9.42578125" customWidth="1"/>
    <col min="507" max="507" width="9.5703125" customWidth="1"/>
    <col min="508" max="508" width="9.7109375" customWidth="1"/>
    <col min="509" max="509" width="9.5703125" customWidth="1"/>
    <col min="510" max="510" width="9.28515625" customWidth="1"/>
    <col min="511" max="511" width="0" hidden="1" customWidth="1"/>
    <col min="512" max="513" width="9.7109375" customWidth="1"/>
    <col min="514" max="514" width="12.28515625" customWidth="1"/>
    <col min="515" max="515" width="28.42578125" customWidth="1"/>
    <col min="516" max="516" width="34.7109375" customWidth="1"/>
    <col min="517" max="517" width="25.85546875" customWidth="1"/>
    <col min="518" max="518" width="10.140625" customWidth="1"/>
    <col min="519" max="521" width="9.140625" customWidth="1"/>
    <col min="522" max="522" width="15.85546875" customWidth="1"/>
    <col min="760" max="760" width="5.28515625" customWidth="1"/>
    <col min="761" max="761" width="27.85546875" customWidth="1"/>
    <col min="762" max="762" width="9.42578125" customWidth="1"/>
    <col min="763" max="763" width="9.5703125" customWidth="1"/>
    <col min="764" max="764" width="9.7109375" customWidth="1"/>
    <col min="765" max="765" width="9.5703125" customWidth="1"/>
    <col min="766" max="766" width="9.28515625" customWidth="1"/>
    <col min="767" max="767" width="0" hidden="1" customWidth="1"/>
    <col min="768" max="769" width="9.7109375" customWidth="1"/>
    <col min="770" max="770" width="12.28515625" customWidth="1"/>
    <col min="771" max="771" width="28.42578125" customWidth="1"/>
    <col min="772" max="772" width="34.7109375" customWidth="1"/>
    <col min="773" max="773" width="25.85546875" customWidth="1"/>
    <col min="774" max="774" width="10.140625" customWidth="1"/>
    <col min="775" max="777" width="9.140625" customWidth="1"/>
    <col min="778" max="778" width="15.85546875" customWidth="1"/>
    <col min="1016" max="1016" width="5.28515625" customWidth="1"/>
    <col min="1017" max="1017" width="27.85546875" customWidth="1"/>
    <col min="1018" max="1018" width="9.42578125" customWidth="1"/>
    <col min="1019" max="1019" width="9.5703125" customWidth="1"/>
    <col min="1020" max="1020" width="9.7109375" customWidth="1"/>
    <col min="1021" max="1021" width="9.5703125" customWidth="1"/>
    <col min="1022" max="1022" width="9.28515625" customWidth="1"/>
    <col min="1023" max="1023" width="0" hidden="1" customWidth="1"/>
    <col min="1024" max="1025" width="9.7109375" customWidth="1"/>
    <col min="1026" max="1026" width="12.28515625" customWidth="1"/>
    <col min="1027" max="1027" width="28.42578125" customWidth="1"/>
    <col min="1028" max="1028" width="34.7109375" customWidth="1"/>
    <col min="1029" max="1029" width="25.85546875" customWidth="1"/>
    <col min="1030" max="1030" width="10.140625" customWidth="1"/>
    <col min="1031" max="1033" width="9.140625" customWidth="1"/>
    <col min="1034" max="1034" width="15.85546875" customWidth="1"/>
    <col min="1272" max="1272" width="5.28515625" customWidth="1"/>
    <col min="1273" max="1273" width="27.85546875" customWidth="1"/>
    <col min="1274" max="1274" width="9.42578125" customWidth="1"/>
    <col min="1275" max="1275" width="9.5703125" customWidth="1"/>
    <col min="1276" max="1276" width="9.7109375" customWidth="1"/>
    <col min="1277" max="1277" width="9.5703125" customWidth="1"/>
    <col min="1278" max="1278" width="9.28515625" customWidth="1"/>
    <col min="1279" max="1279" width="0" hidden="1" customWidth="1"/>
    <col min="1280" max="1281" width="9.7109375" customWidth="1"/>
    <col min="1282" max="1282" width="12.28515625" customWidth="1"/>
    <col min="1283" max="1283" width="28.42578125" customWidth="1"/>
    <col min="1284" max="1284" width="34.7109375" customWidth="1"/>
    <col min="1285" max="1285" width="25.85546875" customWidth="1"/>
    <col min="1286" max="1286" width="10.140625" customWidth="1"/>
    <col min="1287" max="1289" width="9.140625" customWidth="1"/>
    <col min="1290" max="1290" width="15.85546875" customWidth="1"/>
    <col min="1528" max="1528" width="5.28515625" customWidth="1"/>
    <col min="1529" max="1529" width="27.85546875" customWidth="1"/>
    <col min="1530" max="1530" width="9.42578125" customWidth="1"/>
    <col min="1531" max="1531" width="9.5703125" customWidth="1"/>
    <col min="1532" max="1532" width="9.7109375" customWidth="1"/>
    <col min="1533" max="1533" width="9.5703125" customWidth="1"/>
    <col min="1534" max="1534" width="9.28515625" customWidth="1"/>
    <col min="1535" max="1535" width="0" hidden="1" customWidth="1"/>
    <col min="1536" max="1537" width="9.7109375" customWidth="1"/>
    <col min="1538" max="1538" width="12.28515625" customWidth="1"/>
    <col min="1539" max="1539" width="28.42578125" customWidth="1"/>
    <col min="1540" max="1540" width="34.7109375" customWidth="1"/>
    <col min="1541" max="1541" width="25.85546875" customWidth="1"/>
    <col min="1542" max="1542" width="10.140625" customWidth="1"/>
    <col min="1543" max="1545" width="9.140625" customWidth="1"/>
    <col min="1546" max="1546" width="15.85546875" customWidth="1"/>
    <col min="1784" max="1784" width="5.28515625" customWidth="1"/>
    <col min="1785" max="1785" width="27.85546875" customWidth="1"/>
    <col min="1786" max="1786" width="9.42578125" customWidth="1"/>
    <col min="1787" max="1787" width="9.5703125" customWidth="1"/>
    <col min="1788" max="1788" width="9.7109375" customWidth="1"/>
    <col min="1789" max="1789" width="9.5703125" customWidth="1"/>
    <col min="1790" max="1790" width="9.28515625" customWidth="1"/>
    <col min="1791" max="1791" width="0" hidden="1" customWidth="1"/>
    <col min="1792" max="1793" width="9.7109375" customWidth="1"/>
    <col min="1794" max="1794" width="12.28515625" customWidth="1"/>
    <col min="1795" max="1795" width="28.42578125" customWidth="1"/>
    <col min="1796" max="1796" width="34.7109375" customWidth="1"/>
    <col min="1797" max="1797" width="25.85546875" customWidth="1"/>
    <col min="1798" max="1798" width="10.140625" customWidth="1"/>
    <col min="1799" max="1801" width="9.140625" customWidth="1"/>
    <col min="1802" max="1802" width="15.85546875" customWidth="1"/>
    <col min="2040" max="2040" width="5.28515625" customWidth="1"/>
    <col min="2041" max="2041" width="27.85546875" customWidth="1"/>
    <col min="2042" max="2042" width="9.42578125" customWidth="1"/>
    <col min="2043" max="2043" width="9.5703125" customWidth="1"/>
    <col min="2044" max="2044" width="9.7109375" customWidth="1"/>
    <col min="2045" max="2045" width="9.5703125" customWidth="1"/>
    <col min="2046" max="2046" width="9.28515625" customWidth="1"/>
    <col min="2047" max="2047" width="0" hidden="1" customWidth="1"/>
    <col min="2048" max="2049" width="9.7109375" customWidth="1"/>
    <col min="2050" max="2050" width="12.28515625" customWidth="1"/>
    <col min="2051" max="2051" width="28.42578125" customWidth="1"/>
    <col min="2052" max="2052" width="34.7109375" customWidth="1"/>
    <col min="2053" max="2053" width="25.85546875" customWidth="1"/>
    <col min="2054" max="2054" width="10.140625" customWidth="1"/>
    <col min="2055" max="2057" width="9.140625" customWidth="1"/>
    <col min="2058" max="2058" width="15.85546875" customWidth="1"/>
    <col min="2296" max="2296" width="5.28515625" customWidth="1"/>
    <col min="2297" max="2297" width="27.85546875" customWidth="1"/>
    <col min="2298" max="2298" width="9.42578125" customWidth="1"/>
    <col min="2299" max="2299" width="9.5703125" customWidth="1"/>
    <col min="2300" max="2300" width="9.7109375" customWidth="1"/>
    <col min="2301" max="2301" width="9.5703125" customWidth="1"/>
    <col min="2302" max="2302" width="9.28515625" customWidth="1"/>
    <col min="2303" max="2303" width="0" hidden="1" customWidth="1"/>
    <col min="2304" max="2305" width="9.7109375" customWidth="1"/>
    <col min="2306" max="2306" width="12.28515625" customWidth="1"/>
    <col min="2307" max="2307" width="28.42578125" customWidth="1"/>
    <col min="2308" max="2308" width="34.7109375" customWidth="1"/>
    <col min="2309" max="2309" width="25.85546875" customWidth="1"/>
    <col min="2310" max="2310" width="10.140625" customWidth="1"/>
    <col min="2311" max="2313" width="9.140625" customWidth="1"/>
    <col min="2314" max="2314" width="15.85546875" customWidth="1"/>
    <col min="2552" max="2552" width="5.28515625" customWidth="1"/>
    <col min="2553" max="2553" width="27.85546875" customWidth="1"/>
    <col min="2554" max="2554" width="9.42578125" customWidth="1"/>
    <col min="2555" max="2555" width="9.5703125" customWidth="1"/>
    <col min="2556" max="2556" width="9.7109375" customWidth="1"/>
    <col min="2557" max="2557" width="9.5703125" customWidth="1"/>
    <col min="2558" max="2558" width="9.28515625" customWidth="1"/>
    <col min="2559" max="2559" width="0" hidden="1" customWidth="1"/>
    <col min="2560" max="2561" width="9.7109375" customWidth="1"/>
    <col min="2562" max="2562" width="12.28515625" customWidth="1"/>
    <col min="2563" max="2563" width="28.42578125" customWidth="1"/>
    <col min="2564" max="2564" width="34.7109375" customWidth="1"/>
    <col min="2565" max="2565" width="25.85546875" customWidth="1"/>
    <col min="2566" max="2566" width="10.140625" customWidth="1"/>
    <col min="2567" max="2569" width="9.140625" customWidth="1"/>
    <col min="2570" max="2570" width="15.85546875" customWidth="1"/>
    <col min="2808" max="2808" width="5.28515625" customWidth="1"/>
    <col min="2809" max="2809" width="27.85546875" customWidth="1"/>
    <col min="2810" max="2810" width="9.42578125" customWidth="1"/>
    <col min="2811" max="2811" width="9.5703125" customWidth="1"/>
    <col min="2812" max="2812" width="9.7109375" customWidth="1"/>
    <col min="2813" max="2813" width="9.5703125" customWidth="1"/>
    <col min="2814" max="2814" width="9.28515625" customWidth="1"/>
    <col min="2815" max="2815" width="0" hidden="1" customWidth="1"/>
    <col min="2816" max="2817" width="9.7109375" customWidth="1"/>
    <col min="2818" max="2818" width="12.28515625" customWidth="1"/>
    <col min="2819" max="2819" width="28.42578125" customWidth="1"/>
    <col min="2820" max="2820" width="34.7109375" customWidth="1"/>
    <col min="2821" max="2821" width="25.85546875" customWidth="1"/>
    <col min="2822" max="2822" width="10.140625" customWidth="1"/>
    <col min="2823" max="2825" width="9.140625" customWidth="1"/>
    <col min="2826" max="2826" width="15.85546875" customWidth="1"/>
    <col min="3064" max="3064" width="5.28515625" customWidth="1"/>
    <col min="3065" max="3065" width="27.85546875" customWidth="1"/>
    <col min="3066" max="3066" width="9.42578125" customWidth="1"/>
    <col min="3067" max="3067" width="9.5703125" customWidth="1"/>
    <col min="3068" max="3068" width="9.7109375" customWidth="1"/>
    <col min="3069" max="3069" width="9.5703125" customWidth="1"/>
    <col min="3070" max="3070" width="9.28515625" customWidth="1"/>
    <col min="3071" max="3071" width="0" hidden="1" customWidth="1"/>
    <col min="3072" max="3073" width="9.7109375" customWidth="1"/>
    <col min="3074" max="3074" width="12.28515625" customWidth="1"/>
    <col min="3075" max="3075" width="28.42578125" customWidth="1"/>
    <col min="3076" max="3076" width="34.7109375" customWidth="1"/>
    <col min="3077" max="3077" width="25.85546875" customWidth="1"/>
    <col min="3078" max="3078" width="10.140625" customWidth="1"/>
    <col min="3079" max="3081" width="9.140625" customWidth="1"/>
    <col min="3082" max="3082" width="15.85546875" customWidth="1"/>
    <col min="3320" max="3320" width="5.28515625" customWidth="1"/>
    <col min="3321" max="3321" width="27.85546875" customWidth="1"/>
    <col min="3322" max="3322" width="9.42578125" customWidth="1"/>
    <col min="3323" max="3323" width="9.5703125" customWidth="1"/>
    <col min="3324" max="3324" width="9.7109375" customWidth="1"/>
    <col min="3325" max="3325" width="9.5703125" customWidth="1"/>
    <col min="3326" max="3326" width="9.28515625" customWidth="1"/>
    <col min="3327" max="3327" width="0" hidden="1" customWidth="1"/>
    <col min="3328" max="3329" width="9.7109375" customWidth="1"/>
    <col min="3330" max="3330" width="12.28515625" customWidth="1"/>
    <col min="3331" max="3331" width="28.42578125" customWidth="1"/>
    <col min="3332" max="3332" width="34.7109375" customWidth="1"/>
    <col min="3333" max="3333" width="25.85546875" customWidth="1"/>
    <col min="3334" max="3334" width="10.140625" customWidth="1"/>
    <col min="3335" max="3337" width="9.140625" customWidth="1"/>
    <col min="3338" max="3338" width="15.85546875" customWidth="1"/>
    <col min="3576" max="3576" width="5.28515625" customWidth="1"/>
    <col min="3577" max="3577" width="27.85546875" customWidth="1"/>
    <col min="3578" max="3578" width="9.42578125" customWidth="1"/>
    <col min="3579" max="3579" width="9.5703125" customWidth="1"/>
    <col min="3580" max="3580" width="9.7109375" customWidth="1"/>
    <col min="3581" max="3581" width="9.5703125" customWidth="1"/>
    <col min="3582" max="3582" width="9.28515625" customWidth="1"/>
    <col min="3583" max="3583" width="0" hidden="1" customWidth="1"/>
    <col min="3584" max="3585" width="9.7109375" customWidth="1"/>
    <col min="3586" max="3586" width="12.28515625" customWidth="1"/>
    <col min="3587" max="3587" width="28.42578125" customWidth="1"/>
    <col min="3588" max="3588" width="34.7109375" customWidth="1"/>
    <col min="3589" max="3589" width="25.85546875" customWidth="1"/>
    <col min="3590" max="3590" width="10.140625" customWidth="1"/>
    <col min="3591" max="3593" width="9.140625" customWidth="1"/>
    <col min="3594" max="3594" width="15.85546875" customWidth="1"/>
    <col min="3832" max="3832" width="5.28515625" customWidth="1"/>
    <col min="3833" max="3833" width="27.85546875" customWidth="1"/>
    <col min="3834" max="3834" width="9.42578125" customWidth="1"/>
    <col min="3835" max="3835" width="9.5703125" customWidth="1"/>
    <col min="3836" max="3836" width="9.7109375" customWidth="1"/>
    <col min="3837" max="3837" width="9.5703125" customWidth="1"/>
    <col min="3838" max="3838" width="9.28515625" customWidth="1"/>
    <col min="3839" max="3839" width="0" hidden="1" customWidth="1"/>
    <col min="3840" max="3841" width="9.7109375" customWidth="1"/>
    <col min="3842" max="3842" width="12.28515625" customWidth="1"/>
    <col min="3843" max="3843" width="28.42578125" customWidth="1"/>
    <col min="3844" max="3844" width="34.7109375" customWidth="1"/>
    <col min="3845" max="3845" width="25.85546875" customWidth="1"/>
    <col min="3846" max="3846" width="10.140625" customWidth="1"/>
    <col min="3847" max="3849" width="9.140625" customWidth="1"/>
    <col min="3850" max="3850" width="15.85546875" customWidth="1"/>
    <col min="4088" max="4088" width="5.28515625" customWidth="1"/>
    <col min="4089" max="4089" width="27.85546875" customWidth="1"/>
    <col min="4090" max="4090" width="9.42578125" customWidth="1"/>
    <col min="4091" max="4091" width="9.5703125" customWidth="1"/>
    <col min="4092" max="4092" width="9.7109375" customWidth="1"/>
    <col min="4093" max="4093" width="9.5703125" customWidth="1"/>
    <col min="4094" max="4094" width="9.28515625" customWidth="1"/>
    <col min="4095" max="4095" width="0" hidden="1" customWidth="1"/>
    <col min="4096" max="4097" width="9.7109375" customWidth="1"/>
    <col min="4098" max="4098" width="12.28515625" customWidth="1"/>
    <col min="4099" max="4099" width="28.42578125" customWidth="1"/>
    <col min="4100" max="4100" width="34.7109375" customWidth="1"/>
    <col min="4101" max="4101" width="25.85546875" customWidth="1"/>
    <col min="4102" max="4102" width="10.140625" customWidth="1"/>
    <col min="4103" max="4105" width="9.140625" customWidth="1"/>
    <col min="4106" max="4106" width="15.85546875" customWidth="1"/>
    <col min="4344" max="4344" width="5.28515625" customWidth="1"/>
    <col min="4345" max="4345" width="27.85546875" customWidth="1"/>
    <col min="4346" max="4346" width="9.42578125" customWidth="1"/>
    <col min="4347" max="4347" width="9.5703125" customWidth="1"/>
    <col min="4348" max="4348" width="9.7109375" customWidth="1"/>
    <col min="4349" max="4349" width="9.5703125" customWidth="1"/>
    <col min="4350" max="4350" width="9.28515625" customWidth="1"/>
    <col min="4351" max="4351" width="0" hidden="1" customWidth="1"/>
    <col min="4352" max="4353" width="9.7109375" customWidth="1"/>
    <col min="4354" max="4354" width="12.28515625" customWidth="1"/>
    <col min="4355" max="4355" width="28.42578125" customWidth="1"/>
    <col min="4356" max="4356" width="34.7109375" customWidth="1"/>
    <col min="4357" max="4357" width="25.85546875" customWidth="1"/>
    <col min="4358" max="4358" width="10.140625" customWidth="1"/>
    <col min="4359" max="4361" width="9.140625" customWidth="1"/>
    <col min="4362" max="4362" width="15.85546875" customWidth="1"/>
    <col min="4600" max="4600" width="5.28515625" customWidth="1"/>
    <col min="4601" max="4601" width="27.85546875" customWidth="1"/>
    <col min="4602" max="4602" width="9.42578125" customWidth="1"/>
    <col min="4603" max="4603" width="9.5703125" customWidth="1"/>
    <col min="4604" max="4604" width="9.7109375" customWidth="1"/>
    <col min="4605" max="4605" width="9.5703125" customWidth="1"/>
    <col min="4606" max="4606" width="9.28515625" customWidth="1"/>
    <col min="4607" max="4607" width="0" hidden="1" customWidth="1"/>
    <col min="4608" max="4609" width="9.7109375" customWidth="1"/>
    <col min="4610" max="4610" width="12.28515625" customWidth="1"/>
    <col min="4611" max="4611" width="28.42578125" customWidth="1"/>
    <col min="4612" max="4612" width="34.7109375" customWidth="1"/>
    <col min="4613" max="4613" width="25.85546875" customWidth="1"/>
    <col min="4614" max="4614" width="10.140625" customWidth="1"/>
    <col min="4615" max="4617" width="9.140625" customWidth="1"/>
    <col min="4618" max="4618" width="15.85546875" customWidth="1"/>
    <col min="4856" max="4856" width="5.28515625" customWidth="1"/>
    <col min="4857" max="4857" width="27.85546875" customWidth="1"/>
    <col min="4858" max="4858" width="9.42578125" customWidth="1"/>
    <col min="4859" max="4859" width="9.5703125" customWidth="1"/>
    <col min="4860" max="4860" width="9.7109375" customWidth="1"/>
    <col min="4861" max="4861" width="9.5703125" customWidth="1"/>
    <col min="4862" max="4862" width="9.28515625" customWidth="1"/>
    <col min="4863" max="4863" width="0" hidden="1" customWidth="1"/>
    <col min="4864" max="4865" width="9.7109375" customWidth="1"/>
    <col min="4866" max="4866" width="12.28515625" customWidth="1"/>
    <col min="4867" max="4867" width="28.42578125" customWidth="1"/>
    <col min="4868" max="4868" width="34.7109375" customWidth="1"/>
    <col min="4869" max="4869" width="25.85546875" customWidth="1"/>
    <col min="4870" max="4870" width="10.140625" customWidth="1"/>
    <col min="4871" max="4873" width="9.140625" customWidth="1"/>
    <col min="4874" max="4874" width="15.85546875" customWidth="1"/>
    <col min="5112" max="5112" width="5.28515625" customWidth="1"/>
    <col min="5113" max="5113" width="27.85546875" customWidth="1"/>
    <col min="5114" max="5114" width="9.42578125" customWidth="1"/>
    <col min="5115" max="5115" width="9.5703125" customWidth="1"/>
    <col min="5116" max="5116" width="9.7109375" customWidth="1"/>
    <col min="5117" max="5117" width="9.5703125" customWidth="1"/>
    <col min="5118" max="5118" width="9.28515625" customWidth="1"/>
    <col min="5119" max="5119" width="0" hidden="1" customWidth="1"/>
    <col min="5120" max="5121" width="9.7109375" customWidth="1"/>
    <col min="5122" max="5122" width="12.28515625" customWidth="1"/>
    <col min="5123" max="5123" width="28.42578125" customWidth="1"/>
    <col min="5124" max="5124" width="34.7109375" customWidth="1"/>
    <col min="5125" max="5125" width="25.85546875" customWidth="1"/>
    <col min="5126" max="5126" width="10.140625" customWidth="1"/>
    <col min="5127" max="5129" width="9.140625" customWidth="1"/>
    <col min="5130" max="5130" width="15.85546875" customWidth="1"/>
    <col min="5368" max="5368" width="5.28515625" customWidth="1"/>
    <col min="5369" max="5369" width="27.85546875" customWidth="1"/>
    <col min="5370" max="5370" width="9.42578125" customWidth="1"/>
    <col min="5371" max="5371" width="9.5703125" customWidth="1"/>
    <col min="5372" max="5372" width="9.7109375" customWidth="1"/>
    <col min="5373" max="5373" width="9.5703125" customWidth="1"/>
    <col min="5374" max="5374" width="9.28515625" customWidth="1"/>
    <col min="5375" max="5375" width="0" hidden="1" customWidth="1"/>
    <col min="5376" max="5377" width="9.7109375" customWidth="1"/>
    <col min="5378" max="5378" width="12.28515625" customWidth="1"/>
    <col min="5379" max="5379" width="28.42578125" customWidth="1"/>
    <col min="5380" max="5380" width="34.7109375" customWidth="1"/>
    <col min="5381" max="5381" width="25.85546875" customWidth="1"/>
    <col min="5382" max="5382" width="10.140625" customWidth="1"/>
    <col min="5383" max="5385" width="9.140625" customWidth="1"/>
    <col min="5386" max="5386" width="15.85546875" customWidth="1"/>
    <col min="5624" max="5624" width="5.28515625" customWidth="1"/>
    <col min="5625" max="5625" width="27.85546875" customWidth="1"/>
    <col min="5626" max="5626" width="9.42578125" customWidth="1"/>
    <col min="5627" max="5627" width="9.5703125" customWidth="1"/>
    <col min="5628" max="5628" width="9.7109375" customWidth="1"/>
    <col min="5629" max="5629" width="9.5703125" customWidth="1"/>
    <col min="5630" max="5630" width="9.28515625" customWidth="1"/>
    <col min="5631" max="5631" width="0" hidden="1" customWidth="1"/>
    <col min="5632" max="5633" width="9.7109375" customWidth="1"/>
    <col min="5634" max="5634" width="12.28515625" customWidth="1"/>
    <col min="5635" max="5635" width="28.42578125" customWidth="1"/>
    <col min="5636" max="5636" width="34.7109375" customWidth="1"/>
    <col min="5637" max="5637" width="25.85546875" customWidth="1"/>
    <col min="5638" max="5638" width="10.140625" customWidth="1"/>
    <col min="5639" max="5641" width="9.140625" customWidth="1"/>
    <col min="5642" max="5642" width="15.85546875" customWidth="1"/>
    <col min="5880" max="5880" width="5.28515625" customWidth="1"/>
    <col min="5881" max="5881" width="27.85546875" customWidth="1"/>
    <col min="5882" max="5882" width="9.42578125" customWidth="1"/>
    <col min="5883" max="5883" width="9.5703125" customWidth="1"/>
    <col min="5884" max="5884" width="9.7109375" customWidth="1"/>
    <col min="5885" max="5885" width="9.5703125" customWidth="1"/>
    <col min="5886" max="5886" width="9.28515625" customWidth="1"/>
    <col min="5887" max="5887" width="0" hidden="1" customWidth="1"/>
    <col min="5888" max="5889" width="9.7109375" customWidth="1"/>
    <col min="5890" max="5890" width="12.28515625" customWidth="1"/>
    <col min="5891" max="5891" width="28.42578125" customWidth="1"/>
    <col min="5892" max="5892" width="34.7109375" customWidth="1"/>
    <col min="5893" max="5893" width="25.85546875" customWidth="1"/>
    <col min="5894" max="5894" width="10.140625" customWidth="1"/>
    <col min="5895" max="5897" width="9.140625" customWidth="1"/>
    <col min="5898" max="5898" width="15.85546875" customWidth="1"/>
    <col min="6136" max="6136" width="5.28515625" customWidth="1"/>
    <col min="6137" max="6137" width="27.85546875" customWidth="1"/>
    <col min="6138" max="6138" width="9.42578125" customWidth="1"/>
    <col min="6139" max="6139" width="9.5703125" customWidth="1"/>
    <col min="6140" max="6140" width="9.7109375" customWidth="1"/>
    <col min="6141" max="6141" width="9.5703125" customWidth="1"/>
    <col min="6142" max="6142" width="9.28515625" customWidth="1"/>
    <col min="6143" max="6143" width="0" hidden="1" customWidth="1"/>
    <col min="6144" max="6145" width="9.7109375" customWidth="1"/>
    <col min="6146" max="6146" width="12.28515625" customWidth="1"/>
    <col min="6147" max="6147" width="28.42578125" customWidth="1"/>
    <col min="6148" max="6148" width="34.7109375" customWidth="1"/>
    <col min="6149" max="6149" width="25.85546875" customWidth="1"/>
    <col min="6150" max="6150" width="10.140625" customWidth="1"/>
    <col min="6151" max="6153" width="9.140625" customWidth="1"/>
    <col min="6154" max="6154" width="15.85546875" customWidth="1"/>
    <col min="6392" max="6392" width="5.28515625" customWidth="1"/>
    <col min="6393" max="6393" width="27.85546875" customWidth="1"/>
    <col min="6394" max="6394" width="9.42578125" customWidth="1"/>
    <col min="6395" max="6395" width="9.5703125" customWidth="1"/>
    <col min="6396" max="6396" width="9.7109375" customWidth="1"/>
    <col min="6397" max="6397" width="9.5703125" customWidth="1"/>
    <col min="6398" max="6398" width="9.28515625" customWidth="1"/>
    <col min="6399" max="6399" width="0" hidden="1" customWidth="1"/>
    <col min="6400" max="6401" width="9.7109375" customWidth="1"/>
    <col min="6402" max="6402" width="12.28515625" customWidth="1"/>
    <col min="6403" max="6403" width="28.42578125" customWidth="1"/>
    <col min="6404" max="6404" width="34.7109375" customWidth="1"/>
    <col min="6405" max="6405" width="25.85546875" customWidth="1"/>
    <col min="6406" max="6406" width="10.140625" customWidth="1"/>
    <col min="6407" max="6409" width="9.140625" customWidth="1"/>
    <col min="6410" max="6410" width="15.85546875" customWidth="1"/>
    <col min="6648" max="6648" width="5.28515625" customWidth="1"/>
    <col min="6649" max="6649" width="27.85546875" customWidth="1"/>
    <col min="6650" max="6650" width="9.42578125" customWidth="1"/>
    <col min="6651" max="6651" width="9.5703125" customWidth="1"/>
    <col min="6652" max="6652" width="9.7109375" customWidth="1"/>
    <col min="6653" max="6653" width="9.5703125" customWidth="1"/>
    <col min="6654" max="6654" width="9.28515625" customWidth="1"/>
    <col min="6655" max="6655" width="0" hidden="1" customWidth="1"/>
    <col min="6656" max="6657" width="9.7109375" customWidth="1"/>
    <col min="6658" max="6658" width="12.28515625" customWidth="1"/>
    <col min="6659" max="6659" width="28.42578125" customWidth="1"/>
    <col min="6660" max="6660" width="34.7109375" customWidth="1"/>
    <col min="6661" max="6661" width="25.85546875" customWidth="1"/>
    <col min="6662" max="6662" width="10.140625" customWidth="1"/>
    <col min="6663" max="6665" width="9.140625" customWidth="1"/>
    <col min="6666" max="6666" width="15.85546875" customWidth="1"/>
    <col min="6904" max="6904" width="5.28515625" customWidth="1"/>
    <col min="6905" max="6905" width="27.85546875" customWidth="1"/>
    <col min="6906" max="6906" width="9.42578125" customWidth="1"/>
    <col min="6907" max="6907" width="9.5703125" customWidth="1"/>
    <col min="6908" max="6908" width="9.7109375" customWidth="1"/>
    <col min="6909" max="6909" width="9.5703125" customWidth="1"/>
    <col min="6910" max="6910" width="9.28515625" customWidth="1"/>
    <col min="6911" max="6911" width="0" hidden="1" customWidth="1"/>
    <col min="6912" max="6913" width="9.7109375" customWidth="1"/>
    <col min="6914" max="6914" width="12.28515625" customWidth="1"/>
    <col min="6915" max="6915" width="28.42578125" customWidth="1"/>
    <col min="6916" max="6916" width="34.7109375" customWidth="1"/>
    <col min="6917" max="6917" width="25.85546875" customWidth="1"/>
    <col min="6918" max="6918" width="10.140625" customWidth="1"/>
    <col min="6919" max="6921" width="9.140625" customWidth="1"/>
    <col min="6922" max="6922" width="15.85546875" customWidth="1"/>
    <col min="7160" max="7160" width="5.28515625" customWidth="1"/>
    <col min="7161" max="7161" width="27.85546875" customWidth="1"/>
    <col min="7162" max="7162" width="9.42578125" customWidth="1"/>
    <col min="7163" max="7163" width="9.5703125" customWidth="1"/>
    <col min="7164" max="7164" width="9.7109375" customWidth="1"/>
    <col min="7165" max="7165" width="9.5703125" customWidth="1"/>
    <col min="7166" max="7166" width="9.28515625" customWidth="1"/>
    <col min="7167" max="7167" width="0" hidden="1" customWidth="1"/>
    <col min="7168" max="7169" width="9.7109375" customWidth="1"/>
    <col min="7170" max="7170" width="12.28515625" customWidth="1"/>
    <col min="7171" max="7171" width="28.42578125" customWidth="1"/>
    <col min="7172" max="7172" width="34.7109375" customWidth="1"/>
    <col min="7173" max="7173" width="25.85546875" customWidth="1"/>
    <col min="7174" max="7174" width="10.140625" customWidth="1"/>
    <col min="7175" max="7177" width="9.140625" customWidth="1"/>
    <col min="7178" max="7178" width="15.85546875" customWidth="1"/>
    <col min="7416" max="7416" width="5.28515625" customWidth="1"/>
    <col min="7417" max="7417" width="27.85546875" customWidth="1"/>
    <col min="7418" max="7418" width="9.42578125" customWidth="1"/>
    <col min="7419" max="7419" width="9.5703125" customWidth="1"/>
    <col min="7420" max="7420" width="9.7109375" customWidth="1"/>
    <col min="7421" max="7421" width="9.5703125" customWidth="1"/>
    <col min="7422" max="7422" width="9.28515625" customWidth="1"/>
    <col min="7423" max="7423" width="0" hidden="1" customWidth="1"/>
    <col min="7424" max="7425" width="9.7109375" customWidth="1"/>
    <col min="7426" max="7426" width="12.28515625" customWidth="1"/>
    <col min="7427" max="7427" width="28.42578125" customWidth="1"/>
    <col min="7428" max="7428" width="34.7109375" customWidth="1"/>
    <col min="7429" max="7429" width="25.85546875" customWidth="1"/>
    <col min="7430" max="7430" width="10.140625" customWidth="1"/>
    <col min="7431" max="7433" width="9.140625" customWidth="1"/>
    <col min="7434" max="7434" width="15.85546875" customWidth="1"/>
    <col min="7672" max="7672" width="5.28515625" customWidth="1"/>
    <col min="7673" max="7673" width="27.85546875" customWidth="1"/>
    <col min="7674" max="7674" width="9.42578125" customWidth="1"/>
    <col min="7675" max="7675" width="9.5703125" customWidth="1"/>
    <col min="7676" max="7676" width="9.7109375" customWidth="1"/>
    <col min="7677" max="7677" width="9.5703125" customWidth="1"/>
    <col min="7678" max="7678" width="9.28515625" customWidth="1"/>
    <col min="7679" max="7679" width="0" hidden="1" customWidth="1"/>
    <col min="7680" max="7681" width="9.7109375" customWidth="1"/>
    <col min="7682" max="7682" width="12.28515625" customWidth="1"/>
    <col min="7683" max="7683" width="28.42578125" customWidth="1"/>
    <col min="7684" max="7684" width="34.7109375" customWidth="1"/>
    <col min="7685" max="7685" width="25.85546875" customWidth="1"/>
    <col min="7686" max="7686" width="10.140625" customWidth="1"/>
    <col min="7687" max="7689" width="9.140625" customWidth="1"/>
    <col min="7690" max="7690" width="15.85546875" customWidth="1"/>
    <col min="7928" max="7928" width="5.28515625" customWidth="1"/>
    <col min="7929" max="7929" width="27.85546875" customWidth="1"/>
    <col min="7930" max="7930" width="9.42578125" customWidth="1"/>
    <col min="7931" max="7931" width="9.5703125" customWidth="1"/>
    <col min="7932" max="7932" width="9.7109375" customWidth="1"/>
    <col min="7933" max="7933" width="9.5703125" customWidth="1"/>
    <col min="7934" max="7934" width="9.28515625" customWidth="1"/>
    <col min="7935" max="7935" width="0" hidden="1" customWidth="1"/>
    <col min="7936" max="7937" width="9.7109375" customWidth="1"/>
    <col min="7938" max="7938" width="12.28515625" customWidth="1"/>
    <col min="7939" max="7939" width="28.42578125" customWidth="1"/>
    <col min="7940" max="7940" width="34.7109375" customWidth="1"/>
    <col min="7941" max="7941" width="25.85546875" customWidth="1"/>
    <col min="7942" max="7942" width="10.140625" customWidth="1"/>
    <col min="7943" max="7945" width="9.140625" customWidth="1"/>
    <col min="7946" max="7946" width="15.85546875" customWidth="1"/>
    <col min="8184" max="8184" width="5.28515625" customWidth="1"/>
    <col min="8185" max="8185" width="27.85546875" customWidth="1"/>
    <col min="8186" max="8186" width="9.42578125" customWidth="1"/>
    <col min="8187" max="8187" width="9.5703125" customWidth="1"/>
    <col min="8188" max="8188" width="9.7109375" customWidth="1"/>
    <col min="8189" max="8189" width="9.5703125" customWidth="1"/>
    <col min="8190" max="8190" width="9.28515625" customWidth="1"/>
    <col min="8191" max="8191" width="0" hidden="1" customWidth="1"/>
    <col min="8192" max="8193" width="9.7109375" customWidth="1"/>
    <col min="8194" max="8194" width="12.28515625" customWidth="1"/>
    <col min="8195" max="8195" width="28.42578125" customWidth="1"/>
    <col min="8196" max="8196" width="34.7109375" customWidth="1"/>
    <col min="8197" max="8197" width="25.85546875" customWidth="1"/>
    <col min="8198" max="8198" width="10.140625" customWidth="1"/>
    <col min="8199" max="8201" width="9.140625" customWidth="1"/>
    <col min="8202" max="8202" width="15.85546875" customWidth="1"/>
    <col min="8440" max="8440" width="5.28515625" customWidth="1"/>
    <col min="8441" max="8441" width="27.85546875" customWidth="1"/>
    <col min="8442" max="8442" width="9.42578125" customWidth="1"/>
    <col min="8443" max="8443" width="9.5703125" customWidth="1"/>
    <col min="8444" max="8444" width="9.7109375" customWidth="1"/>
    <col min="8445" max="8445" width="9.5703125" customWidth="1"/>
    <col min="8446" max="8446" width="9.28515625" customWidth="1"/>
    <col min="8447" max="8447" width="0" hidden="1" customWidth="1"/>
    <col min="8448" max="8449" width="9.7109375" customWidth="1"/>
    <col min="8450" max="8450" width="12.28515625" customWidth="1"/>
    <col min="8451" max="8451" width="28.42578125" customWidth="1"/>
    <col min="8452" max="8452" width="34.7109375" customWidth="1"/>
    <col min="8453" max="8453" width="25.85546875" customWidth="1"/>
    <col min="8454" max="8454" width="10.140625" customWidth="1"/>
    <col min="8455" max="8457" width="9.140625" customWidth="1"/>
    <col min="8458" max="8458" width="15.85546875" customWidth="1"/>
    <col min="8696" max="8696" width="5.28515625" customWidth="1"/>
    <col min="8697" max="8697" width="27.85546875" customWidth="1"/>
    <col min="8698" max="8698" width="9.42578125" customWidth="1"/>
    <col min="8699" max="8699" width="9.5703125" customWidth="1"/>
    <col min="8700" max="8700" width="9.7109375" customWidth="1"/>
    <col min="8701" max="8701" width="9.5703125" customWidth="1"/>
    <col min="8702" max="8702" width="9.28515625" customWidth="1"/>
    <col min="8703" max="8703" width="0" hidden="1" customWidth="1"/>
    <col min="8704" max="8705" width="9.7109375" customWidth="1"/>
    <col min="8706" max="8706" width="12.28515625" customWidth="1"/>
    <col min="8707" max="8707" width="28.42578125" customWidth="1"/>
    <col min="8708" max="8708" width="34.7109375" customWidth="1"/>
    <col min="8709" max="8709" width="25.85546875" customWidth="1"/>
    <col min="8710" max="8710" width="10.140625" customWidth="1"/>
    <col min="8711" max="8713" width="9.140625" customWidth="1"/>
    <col min="8714" max="8714" width="15.85546875" customWidth="1"/>
    <col min="8952" max="8952" width="5.28515625" customWidth="1"/>
    <col min="8953" max="8953" width="27.85546875" customWidth="1"/>
    <col min="8954" max="8954" width="9.42578125" customWidth="1"/>
    <col min="8955" max="8955" width="9.5703125" customWidth="1"/>
    <col min="8956" max="8956" width="9.7109375" customWidth="1"/>
    <col min="8957" max="8957" width="9.5703125" customWidth="1"/>
    <col min="8958" max="8958" width="9.28515625" customWidth="1"/>
    <col min="8959" max="8959" width="0" hidden="1" customWidth="1"/>
    <col min="8960" max="8961" width="9.7109375" customWidth="1"/>
    <col min="8962" max="8962" width="12.28515625" customWidth="1"/>
    <col min="8963" max="8963" width="28.42578125" customWidth="1"/>
    <col min="8964" max="8964" width="34.7109375" customWidth="1"/>
    <col min="8965" max="8965" width="25.85546875" customWidth="1"/>
    <col min="8966" max="8966" width="10.140625" customWidth="1"/>
    <col min="8967" max="8969" width="9.140625" customWidth="1"/>
    <col min="8970" max="8970" width="15.85546875" customWidth="1"/>
    <col min="9208" max="9208" width="5.28515625" customWidth="1"/>
    <col min="9209" max="9209" width="27.85546875" customWidth="1"/>
    <col min="9210" max="9210" width="9.42578125" customWidth="1"/>
    <col min="9211" max="9211" width="9.5703125" customWidth="1"/>
    <col min="9212" max="9212" width="9.7109375" customWidth="1"/>
    <col min="9213" max="9213" width="9.5703125" customWidth="1"/>
    <col min="9214" max="9214" width="9.28515625" customWidth="1"/>
    <col min="9215" max="9215" width="0" hidden="1" customWidth="1"/>
    <col min="9216" max="9217" width="9.7109375" customWidth="1"/>
    <col min="9218" max="9218" width="12.28515625" customWidth="1"/>
    <col min="9219" max="9219" width="28.42578125" customWidth="1"/>
    <col min="9220" max="9220" width="34.7109375" customWidth="1"/>
    <col min="9221" max="9221" width="25.85546875" customWidth="1"/>
    <col min="9222" max="9222" width="10.140625" customWidth="1"/>
    <col min="9223" max="9225" width="9.140625" customWidth="1"/>
    <col min="9226" max="9226" width="15.85546875" customWidth="1"/>
    <col min="9464" max="9464" width="5.28515625" customWidth="1"/>
    <col min="9465" max="9465" width="27.85546875" customWidth="1"/>
    <col min="9466" max="9466" width="9.42578125" customWidth="1"/>
    <col min="9467" max="9467" width="9.5703125" customWidth="1"/>
    <col min="9468" max="9468" width="9.7109375" customWidth="1"/>
    <col min="9469" max="9469" width="9.5703125" customWidth="1"/>
    <col min="9470" max="9470" width="9.28515625" customWidth="1"/>
    <col min="9471" max="9471" width="0" hidden="1" customWidth="1"/>
    <col min="9472" max="9473" width="9.7109375" customWidth="1"/>
    <col min="9474" max="9474" width="12.28515625" customWidth="1"/>
    <col min="9475" max="9475" width="28.42578125" customWidth="1"/>
    <col min="9476" max="9476" width="34.7109375" customWidth="1"/>
    <col min="9477" max="9477" width="25.85546875" customWidth="1"/>
    <col min="9478" max="9478" width="10.140625" customWidth="1"/>
    <col min="9479" max="9481" width="9.140625" customWidth="1"/>
    <col min="9482" max="9482" width="15.85546875" customWidth="1"/>
    <col min="9720" max="9720" width="5.28515625" customWidth="1"/>
    <col min="9721" max="9721" width="27.85546875" customWidth="1"/>
    <col min="9722" max="9722" width="9.42578125" customWidth="1"/>
    <col min="9723" max="9723" width="9.5703125" customWidth="1"/>
    <col min="9724" max="9724" width="9.7109375" customWidth="1"/>
    <col min="9725" max="9725" width="9.5703125" customWidth="1"/>
    <col min="9726" max="9726" width="9.28515625" customWidth="1"/>
    <col min="9727" max="9727" width="0" hidden="1" customWidth="1"/>
    <col min="9728" max="9729" width="9.7109375" customWidth="1"/>
    <col min="9730" max="9730" width="12.28515625" customWidth="1"/>
    <col min="9731" max="9731" width="28.42578125" customWidth="1"/>
    <col min="9732" max="9732" width="34.7109375" customWidth="1"/>
    <col min="9733" max="9733" width="25.85546875" customWidth="1"/>
    <col min="9734" max="9734" width="10.140625" customWidth="1"/>
    <col min="9735" max="9737" width="9.140625" customWidth="1"/>
    <col min="9738" max="9738" width="15.85546875" customWidth="1"/>
    <col min="9976" max="9976" width="5.28515625" customWidth="1"/>
    <col min="9977" max="9977" width="27.85546875" customWidth="1"/>
    <col min="9978" max="9978" width="9.42578125" customWidth="1"/>
    <col min="9979" max="9979" width="9.5703125" customWidth="1"/>
    <col min="9980" max="9980" width="9.7109375" customWidth="1"/>
    <col min="9981" max="9981" width="9.5703125" customWidth="1"/>
    <col min="9982" max="9982" width="9.28515625" customWidth="1"/>
    <col min="9983" max="9983" width="0" hidden="1" customWidth="1"/>
    <col min="9984" max="9985" width="9.7109375" customWidth="1"/>
    <col min="9986" max="9986" width="12.28515625" customWidth="1"/>
    <col min="9987" max="9987" width="28.42578125" customWidth="1"/>
    <col min="9988" max="9988" width="34.7109375" customWidth="1"/>
    <col min="9989" max="9989" width="25.85546875" customWidth="1"/>
    <col min="9990" max="9990" width="10.140625" customWidth="1"/>
    <col min="9991" max="9993" width="9.140625" customWidth="1"/>
    <col min="9994" max="9994" width="15.85546875" customWidth="1"/>
    <col min="10232" max="10232" width="5.28515625" customWidth="1"/>
    <col min="10233" max="10233" width="27.85546875" customWidth="1"/>
    <col min="10234" max="10234" width="9.42578125" customWidth="1"/>
    <col min="10235" max="10235" width="9.5703125" customWidth="1"/>
    <col min="10236" max="10236" width="9.7109375" customWidth="1"/>
    <col min="10237" max="10237" width="9.5703125" customWidth="1"/>
    <col min="10238" max="10238" width="9.28515625" customWidth="1"/>
    <col min="10239" max="10239" width="0" hidden="1" customWidth="1"/>
    <col min="10240" max="10241" width="9.7109375" customWidth="1"/>
    <col min="10242" max="10242" width="12.28515625" customWidth="1"/>
    <col min="10243" max="10243" width="28.42578125" customWidth="1"/>
    <col min="10244" max="10244" width="34.7109375" customWidth="1"/>
    <col min="10245" max="10245" width="25.85546875" customWidth="1"/>
    <col min="10246" max="10246" width="10.140625" customWidth="1"/>
    <col min="10247" max="10249" width="9.140625" customWidth="1"/>
    <col min="10250" max="10250" width="15.85546875" customWidth="1"/>
    <col min="10488" max="10488" width="5.28515625" customWidth="1"/>
    <col min="10489" max="10489" width="27.85546875" customWidth="1"/>
    <col min="10490" max="10490" width="9.42578125" customWidth="1"/>
    <col min="10491" max="10491" width="9.5703125" customWidth="1"/>
    <col min="10492" max="10492" width="9.7109375" customWidth="1"/>
    <col min="10493" max="10493" width="9.5703125" customWidth="1"/>
    <col min="10494" max="10494" width="9.28515625" customWidth="1"/>
    <col min="10495" max="10495" width="0" hidden="1" customWidth="1"/>
    <col min="10496" max="10497" width="9.7109375" customWidth="1"/>
    <col min="10498" max="10498" width="12.28515625" customWidth="1"/>
    <col min="10499" max="10499" width="28.42578125" customWidth="1"/>
    <col min="10500" max="10500" width="34.7109375" customWidth="1"/>
    <col min="10501" max="10501" width="25.85546875" customWidth="1"/>
    <col min="10502" max="10502" width="10.140625" customWidth="1"/>
    <col min="10503" max="10505" width="9.140625" customWidth="1"/>
    <col min="10506" max="10506" width="15.85546875" customWidth="1"/>
    <col min="10744" max="10744" width="5.28515625" customWidth="1"/>
    <col min="10745" max="10745" width="27.85546875" customWidth="1"/>
    <col min="10746" max="10746" width="9.42578125" customWidth="1"/>
    <col min="10747" max="10747" width="9.5703125" customWidth="1"/>
    <col min="10748" max="10748" width="9.7109375" customWidth="1"/>
    <col min="10749" max="10749" width="9.5703125" customWidth="1"/>
    <col min="10750" max="10750" width="9.28515625" customWidth="1"/>
    <col min="10751" max="10751" width="0" hidden="1" customWidth="1"/>
    <col min="10752" max="10753" width="9.7109375" customWidth="1"/>
    <col min="10754" max="10754" width="12.28515625" customWidth="1"/>
    <col min="10755" max="10755" width="28.42578125" customWidth="1"/>
    <col min="10756" max="10756" width="34.7109375" customWidth="1"/>
    <col min="10757" max="10757" width="25.85546875" customWidth="1"/>
    <col min="10758" max="10758" width="10.140625" customWidth="1"/>
    <col min="10759" max="10761" width="9.140625" customWidth="1"/>
    <col min="10762" max="10762" width="15.85546875" customWidth="1"/>
    <col min="11000" max="11000" width="5.28515625" customWidth="1"/>
    <col min="11001" max="11001" width="27.85546875" customWidth="1"/>
    <col min="11002" max="11002" width="9.42578125" customWidth="1"/>
    <col min="11003" max="11003" width="9.5703125" customWidth="1"/>
    <col min="11004" max="11004" width="9.7109375" customWidth="1"/>
    <col min="11005" max="11005" width="9.5703125" customWidth="1"/>
    <col min="11006" max="11006" width="9.28515625" customWidth="1"/>
    <col min="11007" max="11007" width="0" hidden="1" customWidth="1"/>
    <col min="11008" max="11009" width="9.7109375" customWidth="1"/>
    <col min="11010" max="11010" width="12.28515625" customWidth="1"/>
    <col min="11011" max="11011" width="28.42578125" customWidth="1"/>
    <col min="11012" max="11012" width="34.7109375" customWidth="1"/>
    <col min="11013" max="11013" width="25.85546875" customWidth="1"/>
    <col min="11014" max="11014" width="10.140625" customWidth="1"/>
    <col min="11015" max="11017" width="9.140625" customWidth="1"/>
    <col min="11018" max="11018" width="15.85546875" customWidth="1"/>
    <col min="11256" max="11256" width="5.28515625" customWidth="1"/>
    <col min="11257" max="11257" width="27.85546875" customWidth="1"/>
    <col min="11258" max="11258" width="9.42578125" customWidth="1"/>
    <col min="11259" max="11259" width="9.5703125" customWidth="1"/>
    <col min="11260" max="11260" width="9.7109375" customWidth="1"/>
    <col min="11261" max="11261" width="9.5703125" customWidth="1"/>
    <col min="11262" max="11262" width="9.28515625" customWidth="1"/>
    <col min="11263" max="11263" width="0" hidden="1" customWidth="1"/>
    <col min="11264" max="11265" width="9.7109375" customWidth="1"/>
    <col min="11266" max="11266" width="12.28515625" customWidth="1"/>
    <col min="11267" max="11267" width="28.42578125" customWidth="1"/>
    <col min="11268" max="11268" width="34.7109375" customWidth="1"/>
    <col min="11269" max="11269" width="25.85546875" customWidth="1"/>
    <col min="11270" max="11270" width="10.140625" customWidth="1"/>
    <col min="11271" max="11273" width="9.140625" customWidth="1"/>
    <col min="11274" max="11274" width="15.85546875" customWidth="1"/>
    <col min="11512" max="11512" width="5.28515625" customWidth="1"/>
    <col min="11513" max="11513" width="27.85546875" customWidth="1"/>
    <col min="11514" max="11514" width="9.42578125" customWidth="1"/>
    <col min="11515" max="11515" width="9.5703125" customWidth="1"/>
    <col min="11516" max="11516" width="9.7109375" customWidth="1"/>
    <col min="11517" max="11517" width="9.5703125" customWidth="1"/>
    <col min="11518" max="11518" width="9.28515625" customWidth="1"/>
    <col min="11519" max="11519" width="0" hidden="1" customWidth="1"/>
    <col min="11520" max="11521" width="9.7109375" customWidth="1"/>
    <col min="11522" max="11522" width="12.28515625" customWidth="1"/>
    <col min="11523" max="11523" width="28.42578125" customWidth="1"/>
    <col min="11524" max="11524" width="34.7109375" customWidth="1"/>
    <col min="11525" max="11525" width="25.85546875" customWidth="1"/>
    <col min="11526" max="11526" width="10.140625" customWidth="1"/>
    <col min="11527" max="11529" width="9.140625" customWidth="1"/>
    <col min="11530" max="11530" width="15.85546875" customWidth="1"/>
    <col min="11768" max="11768" width="5.28515625" customWidth="1"/>
    <col min="11769" max="11769" width="27.85546875" customWidth="1"/>
    <col min="11770" max="11770" width="9.42578125" customWidth="1"/>
    <col min="11771" max="11771" width="9.5703125" customWidth="1"/>
    <col min="11772" max="11772" width="9.7109375" customWidth="1"/>
    <col min="11773" max="11773" width="9.5703125" customWidth="1"/>
    <col min="11774" max="11774" width="9.28515625" customWidth="1"/>
    <col min="11775" max="11775" width="0" hidden="1" customWidth="1"/>
    <col min="11776" max="11777" width="9.7109375" customWidth="1"/>
    <col min="11778" max="11778" width="12.28515625" customWidth="1"/>
    <col min="11779" max="11779" width="28.42578125" customWidth="1"/>
    <col min="11780" max="11780" width="34.7109375" customWidth="1"/>
    <col min="11781" max="11781" width="25.85546875" customWidth="1"/>
    <col min="11782" max="11782" width="10.140625" customWidth="1"/>
    <col min="11783" max="11785" width="9.140625" customWidth="1"/>
    <col min="11786" max="11786" width="15.85546875" customWidth="1"/>
    <col min="12024" max="12024" width="5.28515625" customWidth="1"/>
    <col min="12025" max="12025" width="27.85546875" customWidth="1"/>
    <col min="12026" max="12026" width="9.42578125" customWidth="1"/>
    <col min="12027" max="12027" width="9.5703125" customWidth="1"/>
    <col min="12028" max="12028" width="9.7109375" customWidth="1"/>
    <col min="12029" max="12029" width="9.5703125" customWidth="1"/>
    <col min="12030" max="12030" width="9.28515625" customWidth="1"/>
    <col min="12031" max="12031" width="0" hidden="1" customWidth="1"/>
    <col min="12032" max="12033" width="9.7109375" customWidth="1"/>
    <col min="12034" max="12034" width="12.28515625" customWidth="1"/>
    <col min="12035" max="12035" width="28.42578125" customWidth="1"/>
    <col min="12036" max="12036" width="34.7109375" customWidth="1"/>
    <col min="12037" max="12037" width="25.85546875" customWidth="1"/>
    <col min="12038" max="12038" width="10.140625" customWidth="1"/>
    <col min="12039" max="12041" width="9.140625" customWidth="1"/>
    <col min="12042" max="12042" width="15.85546875" customWidth="1"/>
    <col min="12280" max="12280" width="5.28515625" customWidth="1"/>
    <col min="12281" max="12281" width="27.85546875" customWidth="1"/>
    <col min="12282" max="12282" width="9.42578125" customWidth="1"/>
    <col min="12283" max="12283" width="9.5703125" customWidth="1"/>
    <col min="12284" max="12284" width="9.7109375" customWidth="1"/>
    <col min="12285" max="12285" width="9.5703125" customWidth="1"/>
    <col min="12286" max="12286" width="9.28515625" customWidth="1"/>
    <col min="12287" max="12287" width="0" hidden="1" customWidth="1"/>
    <col min="12288" max="12289" width="9.7109375" customWidth="1"/>
    <col min="12290" max="12290" width="12.28515625" customWidth="1"/>
    <col min="12291" max="12291" width="28.42578125" customWidth="1"/>
    <col min="12292" max="12292" width="34.7109375" customWidth="1"/>
    <col min="12293" max="12293" width="25.85546875" customWidth="1"/>
    <col min="12294" max="12294" width="10.140625" customWidth="1"/>
    <col min="12295" max="12297" width="9.140625" customWidth="1"/>
    <col min="12298" max="12298" width="15.85546875" customWidth="1"/>
    <col min="12536" max="12536" width="5.28515625" customWidth="1"/>
    <col min="12537" max="12537" width="27.85546875" customWidth="1"/>
    <col min="12538" max="12538" width="9.42578125" customWidth="1"/>
    <col min="12539" max="12539" width="9.5703125" customWidth="1"/>
    <col min="12540" max="12540" width="9.7109375" customWidth="1"/>
    <col min="12541" max="12541" width="9.5703125" customWidth="1"/>
    <col min="12542" max="12542" width="9.28515625" customWidth="1"/>
    <col min="12543" max="12543" width="0" hidden="1" customWidth="1"/>
    <col min="12544" max="12545" width="9.7109375" customWidth="1"/>
    <col min="12546" max="12546" width="12.28515625" customWidth="1"/>
    <col min="12547" max="12547" width="28.42578125" customWidth="1"/>
    <col min="12548" max="12548" width="34.7109375" customWidth="1"/>
    <col min="12549" max="12549" width="25.85546875" customWidth="1"/>
    <col min="12550" max="12550" width="10.140625" customWidth="1"/>
    <col min="12551" max="12553" width="9.140625" customWidth="1"/>
    <col min="12554" max="12554" width="15.85546875" customWidth="1"/>
    <col min="12792" max="12792" width="5.28515625" customWidth="1"/>
    <col min="12793" max="12793" width="27.85546875" customWidth="1"/>
    <col min="12794" max="12794" width="9.42578125" customWidth="1"/>
    <col min="12795" max="12795" width="9.5703125" customWidth="1"/>
    <col min="12796" max="12796" width="9.7109375" customWidth="1"/>
    <col min="12797" max="12797" width="9.5703125" customWidth="1"/>
    <col min="12798" max="12798" width="9.28515625" customWidth="1"/>
    <col min="12799" max="12799" width="0" hidden="1" customWidth="1"/>
    <col min="12800" max="12801" width="9.7109375" customWidth="1"/>
    <col min="12802" max="12802" width="12.28515625" customWidth="1"/>
    <col min="12803" max="12803" width="28.42578125" customWidth="1"/>
    <col min="12804" max="12804" width="34.7109375" customWidth="1"/>
    <col min="12805" max="12805" width="25.85546875" customWidth="1"/>
    <col min="12806" max="12806" width="10.140625" customWidth="1"/>
    <col min="12807" max="12809" width="9.140625" customWidth="1"/>
    <col min="12810" max="12810" width="15.85546875" customWidth="1"/>
    <col min="13048" max="13048" width="5.28515625" customWidth="1"/>
    <col min="13049" max="13049" width="27.85546875" customWidth="1"/>
    <col min="13050" max="13050" width="9.42578125" customWidth="1"/>
    <col min="13051" max="13051" width="9.5703125" customWidth="1"/>
    <col min="13052" max="13052" width="9.7109375" customWidth="1"/>
    <col min="13053" max="13053" width="9.5703125" customWidth="1"/>
    <col min="13054" max="13054" width="9.28515625" customWidth="1"/>
    <col min="13055" max="13055" width="0" hidden="1" customWidth="1"/>
    <col min="13056" max="13057" width="9.7109375" customWidth="1"/>
    <col min="13058" max="13058" width="12.28515625" customWidth="1"/>
    <col min="13059" max="13059" width="28.42578125" customWidth="1"/>
    <col min="13060" max="13060" width="34.7109375" customWidth="1"/>
    <col min="13061" max="13061" width="25.85546875" customWidth="1"/>
    <col min="13062" max="13062" width="10.140625" customWidth="1"/>
    <col min="13063" max="13065" width="9.140625" customWidth="1"/>
    <col min="13066" max="13066" width="15.85546875" customWidth="1"/>
    <col min="13304" max="13304" width="5.28515625" customWidth="1"/>
    <col min="13305" max="13305" width="27.85546875" customWidth="1"/>
    <col min="13306" max="13306" width="9.42578125" customWidth="1"/>
    <col min="13307" max="13307" width="9.5703125" customWidth="1"/>
    <col min="13308" max="13308" width="9.7109375" customWidth="1"/>
    <col min="13309" max="13309" width="9.5703125" customWidth="1"/>
    <col min="13310" max="13310" width="9.28515625" customWidth="1"/>
    <col min="13311" max="13311" width="0" hidden="1" customWidth="1"/>
    <col min="13312" max="13313" width="9.7109375" customWidth="1"/>
    <col min="13314" max="13314" width="12.28515625" customWidth="1"/>
    <col min="13315" max="13315" width="28.42578125" customWidth="1"/>
    <col min="13316" max="13316" width="34.7109375" customWidth="1"/>
    <col min="13317" max="13317" width="25.85546875" customWidth="1"/>
    <col min="13318" max="13318" width="10.140625" customWidth="1"/>
    <col min="13319" max="13321" width="9.140625" customWidth="1"/>
    <col min="13322" max="13322" width="15.85546875" customWidth="1"/>
    <col min="13560" max="13560" width="5.28515625" customWidth="1"/>
    <col min="13561" max="13561" width="27.85546875" customWidth="1"/>
    <col min="13562" max="13562" width="9.42578125" customWidth="1"/>
    <col min="13563" max="13563" width="9.5703125" customWidth="1"/>
    <col min="13564" max="13564" width="9.7109375" customWidth="1"/>
    <col min="13565" max="13565" width="9.5703125" customWidth="1"/>
    <col min="13566" max="13566" width="9.28515625" customWidth="1"/>
    <col min="13567" max="13567" width="0" hidden="1" customWidth="1"/>
    <col min="13568" max="13569" width="9.7109375" customWidth="1"/>
    <col min="13570" max="13570" width="12.28515625" customWidth="1"/>
    <col min="13571" max="13571" width="28.42578125" customWidth="1"/>
    <col min="13572" max="13572" width="34.7109375" customWidth="1"/>
    <col min="13573" max="13573" width="25.85546875" customWidth="1"/>
    <col min="13574" max="13574" width="10.140625" customWidth="1"/>
    <col min="13575" max="13577" width="9.140625" customWidth="1"/>
    <col min="13578" max="13578" width="15.85546875" customWidth="1"/>
    <col min="13816" max="13816" width="5.28515625" customWidth="1"/>
    <col min="13817" max="13817" width="27.85546875" customWidth="1"/>
    <col min="13818" max="13818" width="9.42578125" customWidth="1"/>
    <col min="13819" max="13819" width="9.5703125" customWidth="1"/>
    <col min="13820" max="13820" width="9.7109375" customWidth="1"/>
    <col min="13821" max="13821" width="9.5703125" customWidth="1"/>
    <col min="13822" max="13822" width="9.28515625" customWidth="1"/>
    <col min="13823" max="13823" width="0" hidden="1" customWidth="1"/>
    <col min="13824" max="13825" width="9.7109375" customWidth="1"/>
    <col min="13826" max="13826" width="12.28515625" customWidth="1"/>
    <col min="13827" max="13827" width="28.42578125" customWidth="1"/>
    <col min="13828" max="13828" width="34.7109375" customWidth="1"/>
    <col min="13829" max="13829" width="25.85546875" customWidth="1"/>
    <col min="13830" max="13830" width="10.140625" customWidth="1"/>
    <col min="13831" max="13833" width="9.140625" customWidth="1"/>
    <col min="13834" max="13834" width="15.85546875" customWidth="1"/>
    <col min="14072" max="14072" width="5.28515625" customWidth="1"/>
    <col min="14073" max="14073" width="27.85546875" customWidth="1"/>
    <col min="14074" max="14074" width="9.42578125" customWidth="1"/>
    <col min="14075" max="14075" width="9.5703125" customWidth="1"/>
    <col min="14076" max="14076" width="9.7109375" customWidth="1"/>
    <col min="14077" max="14077" width="9.5703125" customWidth="1"/>
    <col min="14078" max="14078" width="9.28515625" customWidth="1"/>
    <col min="14079" max="14079" width="0" hidden="1" customWidth="1"/>
    <col min="14080" max="14081" width="9.7109375" customWidth="1"/>
    <col min="14082" max="14082" width="12.28515625" customWidth="1"/>
    <col min="14083" max="14083" width="28.42578125" customWidth="1"/>
    <col min="14084" max="14084" width="34.7109375" customWidth="1"/>
    <col min="14085" max="14085" width="25.85546875" customWidth="1"/>
    <col min="14086" max="14086" width="10.140625" customWidth="1"/>
    <col min="14087" max="14089" width="9.140625" customWidth="1"/>
    <col min="14090" max="14090" width="15.85546875" customWidth="1"/>
    <col min="14328" max="14328" width="5.28515625" customWidth="1"/>
    <col min="14329" max="14329" width="27.85546875" customWidth="1"/>
    <col min="14330" max="14330" width="9.42578125" customWidth="1"/>
    <col min="14331" max="14331" width="9.5703125" customWidth="1"/>
    <col min="14332" max="14332" width="9.7109375" customWidth="1"/>
    <col min="14333" max="14333" width="9.5703125" customWidth="1"/>
    <col min="14334" max="14334" width="9.28515625" customWidth="1"/>
    <col min="14335" max="14335" width="0" hidden="1" customWidth="1"/>
    <col min="14336" max="14337" width="9.7109375" customWidth="1"/>
    <col min="14338" max="14338" width="12.28515625" customWidth="1"/>
    <col min="14339" max="14339" width="28.42578125" customWidth="1"/>
    <col min="14340" max="14340" width="34.7109375" customWidth="1"/>
    <col min="14341" max="14341" width="25.85546875" customWidth="1"/>
    <col min="14342" max="14342" width="10.140625" customWidth="1"/>
    <col min="14343" max="14345" width="9.140625" customWidth="1"/>
    <col min="14346" max="14346" width="15.85546875" customWidth="1"/>
    <col min="14584" max="14584" width="5.28515625" customWidth="1"/>
    <col min="14585" max="14585" width="27.85546875" customWidth="1"/>
    <col min="14586" max="14586" width="9.42578125" customWidth="1"/>
    <col min="14587" max="14587" width="9.5703125" customWidth="1"/>
    <col min="14588" max="14588" width="9.7109375" customWidth="1"/>
    <col min="14589" max="14589" width="9.5703125" customWidth="1"/>
    <col min="14590" max="14590" width="9.28515625" customWidth="1"/>
    <col min="14591" max="14591" width="0" hidden="1" customWidth="1"/>
    <col min="14592" max="14593" width="9.7109375" customWidth="1"/>
    <col min="14594" max="14594" width="12.28515625" customWidth="1"/>
    <col min="14595" max="14595" width="28.42578125" customWidth="1"/>
    <col min="14596" max="14596" width="34.7109375" customWidth="1"/>
    <col min="14597" max="14597" width="25.85546875" customWidth="1"/>
    <col min="14598" max="14598" width="10.140625" customWidth="1"/>
    <col min="14599" max="14601" width="9.140625" customWidth="1"/>
    <col min="14602" max="14602" width="15.85546875" customWidth="1"/>
    <col min="14840" max="14840" width="5.28515625" customWidth="1"/>
    <col min="14841" max="14841" width="27.85546875" customWidth="1"/>
    <col min="14842" max="14842" width="9.42578125" customWidth="1"/>
    <col min="14843" max="14843" width="9.5703125" customWidth="1"/>
    <col min="14844" max="14844" width="9.7109375" customWidth="1"/>
    <col min="14845" max="14845" width="9.5703125" customWidth="1"/>
    <col min="14846" max="14846" width="9.28515625" customWidth="1"/>
    <col min="14847" max="14847" width="0" hidden="1" customWidth="1"/>
    <col min="14848" max="14849" width="9.7109375" customWidth="1"/>
    <col min="14850" max="14850" width="12.28515625" customWidth="1"/>
    <col min="14851" max="14851" width="28.42578125" customWidth="1"/>
    <col min="14852" max="14852" width="34.7109375" customWidth="1"/>
    <col min="14853" max="14853" width="25.85546875" customWidth="1"/>
    <col min="14854" max="14854" width="10.140625" customWidth="1"/>
    <col min="14855" max="14857" width="9.140625" customWidth="1"/>
    <col min="14858" max="14858" width="15.85546875" customWidth="1"/>
    <col min="15096" max="15096" width="5.28515625" customWidth="1"/>
    <col min="15097" max="15097" width="27.85546875" customWidth="1"/>
    <col min="15098" max="15098" width="9.42578125" customWidth="1"/>
    <col min="15099" max="15099" width="9.5703125" customWidth="1"/>
    <col min="15100" max="15100" width="9.7109375" customWidth="1"/>
    <col min="15101" max="15101" width="9.5703125" customWidth="1"/>
    <col min="15102" max="15102" width="9.28515625" customWidth="1"/>
    <col min="15103" max="15103" width="0" hidden="1" customWidth="1"/>
    <col min="15104" max="15105" width="9.7109375" customWidth="1"/>
    <col min="15106" max="15106" width="12.28515625" customWidth="1"/>
    <col min="15107" max="15107" width="28.42578125" customWidth="1"/>
    <col min="15108" max="15108" width="34.7109375" customWidth="1"/>
    <col min="15109" max="15109" width="25.85546875" customWidth="1"/>
    <col min="15110" max="15110" width="10.140625" customWidth="1"/>
    <col min="15111" max="15113" width="9.140625" customWidth="1"/>
    <col min="15114" max="15114" width="15.85546875" customWidth="1"/>
    <col min="15352" max="15352" width="5.28515625" customWidth="1"/>
    <col min="15353" max="15353" width="27.85546875" customWidth="1"/>
    <col min="15354" max="15354" width="9.42578125" customWidth="1"/>
    <col min="15355" max="15355" width="9.5703125" customWidth="1"/>
    <col min="15356" max="15356" width="9.7109375" customWidth="1"/>
    <col min="15357" max="15357" width="9.5703125" customWidth="1"/>
    <col min="15358" max="15358" width="9.28515625" customWidth="1"/>
    <col min="15359" max="15359" width="0" hidden="1" customWidth="1"/>
    <col min="15360" max="15361" width="9.7109375" customWidth="1"/>
    <col min="15362" max="15362" width="12.28515625" customWidth="1"/>
    <col min="15363" max="15363" width="28.42578125" customWidth="1"/>
    <col min="15364" max="15364" width="34.7109375" customWidth="1"/>
    <col min="15365" max="15365" width="25.85546875" customWidth="1"/>
    <col min="15366" max="15366" width="10.140625" customWidth="1"/>
    <col min="15367" max="15369" width="9.140625" customWidth="1"/>
    <col min="15370" max="15370" width="15.85546875" customWidth="1"/>
    <col min="15608" max="15608" width="5.28515625" customWidth="1"/>
    <col min="15609" max="15609" width="27.85546875" customWidth="1"/>
    <col min="15610" max="15610" width="9.42578125" customWidth="1"/>
    <col min="15611" max="15611" width="9.5703125" customWidth="1"/>
    <col min="15612" max="15612" width="9.7109375" customWidth="1"/>
    <col min="15613" max="15613" width="9.5703125" customWidth="1"/>
    <col min="15614" max="15614" width="9.28515625" customWidth="1"/>
    <col min="15615" max="15615" width="0" hidden="1" customWidth="1"/>
    <col min="15616" max="15617" width="9.7109375" customWidth="1"/>
    <col min="15618" max="15618" width="12.28515625" customWidth="1"/>
    <col min="15619" max="15619" width="28.42578125" customWidth="1"/>
    <col min="15620" max="15620" width="34.7109375" customWidth="1"/>
    <col min="15621" max="15621" width="25.85546875" customWidth="1"/>
    <col min="15622" max="15622" width="10.140625" customWidth="1"/>
    <col min="15623" max="15625" width="9.140625" customWidth="1"/>
    <col min="15626" max="15626" width="15.85546875" customWidth="1"/>
    <col min="15864" max="15864" width="5.28515625" customWidth="1"/>
    <col min="15865" max="15865" width="27.85546875" customWidth="1"/>
    <col min="15866" max="15866" width="9.42578125" customWidth="1"/>
    <col min="15867" max="15867" width="9.5703125" customWidth="1"/>
    <col min="15868" max="15868" width="9.7109375" customWidth="1"/>
    <col min="15869" max="15869" width="9.5703125" customWidth="1"/>
    <col min="15870" max="15870" width="9.28515625" customWidth="1"/>
    <col min="15871" max="15871" width="0" hidden="1" customWidth="1"/>
    <col min="15872" max="15873" width="9.7109375" customWidth="1"/>
    <col min="15874" max="15874" width="12.28515625" customWidth="1"/>
    <col min="15875" max="15875" width="28.42578125" customWidth="1"/>
    <col min="15876" max="15876" width="34.7109375" customWidth="1"/>
    <col min="15877" max="15877" width="25.85546875" customWidth="1"/>
    <col min="15878" max="15878" width="10.140625" customWidth="1"/>
    <col min="15879" max="15881" width="9.140625" customWidth="1"/>
    <col min="15882" max="15882" width="15.85546875" customWidth="1"/>
    <col min="16120" max="16120" width="5.28515625" customWidth="1"/>
    <col min="16121" max="16121" width="27.85546875" customWidth="1"/>
    <col min="16122" max="16122" width="9.42578125" customWidth="1"/>
    <col min="16123" max="16123" width="9.5703125" customWidth="1"/>
    <col min="16124" max="16124" width="9.7109375" customWidth="1"/>
    <col min="16125" max="16125" width="9.5703125" customWidth="1"/>
    <col min="16126" max="16126" width="9.28515625" customWidth="1"/>
    <col min="16127" max="16127" width="0" hidden="1" customWidth="1"/>
    <col min="16128" max="16129" width="9.7109375" customWidth="1"/>
    <col min="16130" max="16130" width="12.28515625" customWidth="1"/>
    <col min="16131" max="16131" width="28.42578125" customWidth="1"/>
    <col min="16132" max="16132" width="34.7109375" customWidth="1"/>
    <col min="16133" max="16133" width="25.85546875" customWidth="1"/>
    <col min="16134" max="16134" width="10.140625" customWidth="1"/>
    <col min="16135" max="16137" width="9.140625" customWidth="1"/>
    <col min="16138" max="16138" width="15.85546875" customWidth="1"/>
  </cols>
  <sheetData>
    <row r="1" spans="1:14" ht="15.75" hidden="1" x14ac:dyDescent="0.25">
      <c r="F1" s="415" t="s">
        <v>0</v>
      </c>
      <c r="G1" s="415"/>
      <c r="H1" s="415"/>
      <c r="I1" s="415"/>
      <c r="J1" s="415"/>
      <c r="K1" s="415"/>
      <c r="L1" s="1"/>
    </row>
    <row r="2" spans="1:14" ht="15.75" hidden="1" x14ac:dyDescent="0.25">
      <c r="F2" s="415" t="s">
        <v>1</v>
      </c>
      <c r="G2" s="415"/>
      <c r="H2" s="415"/>
      <c r="I2" s="415"/>
      <c r="J2" s="415"/>
      <c r="K2" s="415"/>
      <c r="L2" s="1"/>
    </row>
    <row r="3" spans="1:14" ht="15.75" hidden="1" x14ac:dyDescent="0.25">
      <c r="F3" s="415" t="s">
        <v>2</v>
      </c>
      <c r="G3" s="415"/>
      <c r="H3" s="415"/>
      <c r="I3" s="415"/>
      <c r="J3" s="415"/>
      <c r="K3" s="415"/>
      <c r="L3" s="1"/>
    </row>
    <row r="4" spans="1:14" ht="15.75" hidden="1" x14ac:dyDescent="0.25">
      <c r="F4" s="415" t="s">
        <v>3</v>
      </c>
      <c r="G4" s="415"/>
      <c r="H4" s="415"/>
      <c r="I4" s="415"/>
      <c r="J4" s="415"/>
      <c r="K4" s="415"/>
      <c r="L4" s="1"/>
    </row>
    <row r="5" spans="1:14" hidden="1" x14ac:dyDescent="0.2"/>
    <row r="6" spans="1:14" ht="18" customHeight="1" x14ac:dyDescent="0.25">
      <c r="A6" s="416" t="s">
        <v>4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</row>
    <row r="7" spans="1:14" ht="15.75" x14ac:dyDescent="0.25">
      <c r="A7" s="414" t="s">
        <v>5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</row>
    <row r="8" spans="1:14" ht="16.5" thickBo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4" ht="19.5" customHeight="1" thickBot="1" x14ac:dyDescent="0.3">
      <c r="A9" s="423" t="s">
        <v>6</v>
      </c>
      <c r="B9" s="425" t="s">
        <v>7</v>
      </c>
      <c r="C9" s="427" t="s">
        <v>8</v>
      </c>
      <c r="D9" s="429" t="s">
        <v>9</v>
      </c>
      <c r="E9" s="431" t="s">
        <v>10</v>
      </c>
      <c r="F9" s="432"/>
      <c r="G9" s="433" t="s">
        <v>11</v>
      </c>
      <c r="H9" s="434"/>
      <c r="I9" s="4"/>
      <c r="J9" s="4"/>
      <c r="K9" s="417" t="s">
        <v>12</v>
      </c>
      <c r="L9" s="418"/>
      <c r="M9" s="614" t="s">
        <v>13</v>
      </c>
      <c r="N9" s="615"/>
    </row>
    <row r="10" spans="1:14" ht="21.75" customHeight="1" thickBot="1" x14ac:dyDescent="0.25">
      <c r="A10" s="424"/>
      <c r="B10" s="426"/>
      <c r="C10" s="428"/>
      <c r="D10" s="430"/>
      <c r="E10" s="5" t="s">
        <v>14</v>
      </c>
      <c r="F10" s="6" t="s">
        <v>15</v>
      </c>
      <c r="G10" s="7" t="s">
        <v>14</v>
      </c>
      <c r="H10" s="8" t="s">
        <v>16</v>
      </c>
      <c r="I10" s="9"/>
      <c r="J10" s="9"/>
      <c r="K10" s="419"/>
      <c r="L10" s="420"/>
      <c r="M10" s="10" t="s">
        <v>14</v>
      </c>
      <c r="N10" s="616" t="s">
        <v>17</v>
      </c>
    </row>
    <row r="11" spans="1:14" ht="15.75" customHeight="1" thickBot="1" x14ac:dyDescent="0.25">
      <c r="A11" s="11"/>
      <c r="B11" s="12" t="s">
        <v>18</v>
      </c>
      <c r="C11" s="13"/>
      <c r="D11" s="14"/>
      <c r="E11" s="15"/>
      <c r="F11" s="16"/>
      <c r="G11" s="17"/>
      <c r="H11" s="18"/>
      <c r="I11" s="19"/>
      <c r="J11" s="19"/>
      <c r="K11" s="20"/>
      <c r="L11" s="21"/>
      <c r="M11" s="22"/>
      <c r="N11" s="617"/>
    </row>
    <row r="12" spans="1:14" s="35" customFormat="1" ht="15.75" customHeight="1" x14ac:dyDescent="0.2">
      <c r="A12" s="23">
        <f t="shared" ref="A12:A38" si="0">A11+1</f>
        <v>1</v>
      </c>
      <c r="B12" s="24" t="s">
        <v>19</v>
      </c>
      <c r="C12" s="25" t="s">
        <v>20</v>
      </c>
      <c r="D12" s="26">
        <v>30</v>
      </c>
      <c r="E12" s="27">
        <f t="shared" ref="E12:E38" si="1">D12/1000</f>
        <v>0.03</v>
      </c>
      <c r="F12" s="28">
        <f>E12*220</f>
        <v>6.6</v>
      </c>
      <c r="G12" s="29"/>
      <c r="H12" s="30"/>
      <c r="I12" s="31"/>
      <c r="J12" s="31"/>
      <c r="K12" s="32" t="s">
        <v>21</v>
      </c>
      <c r="L12" s="33" t="s">
        <v>22</v>
      </c>
      <c r="M12" s="34">
        <v>2.4E-2</v>
      </c>
      <c r="N12" s="618">
        <v>7.4349999999999996</v>
      </c>
    </row>
    <row r="13" spans="1:14" s="35" customFormat="1" ht="15.75" customHeight="1" x14ac:dyDescent="0.2">
      <c r="A13" s="23">
        <f t="shared" si="0"/>
        <v>2</v>
      </c>
      <c r="B13" s="36" t="s">
        <v>24</v>
      </c>
      <c r="C13" s="37" t="s">
        <v>20</v>
      </c>
      <c r="D13" s="38">
        <v>30</v>
      </c>
      <c r="E13" s="27">
        <f t="shared" si="1"/>
        <v>0.03</v>
      </c>
      <c r="F13" s="39">
        <f>E13*220</f>
        <v>6.6</v>
      </c>
      <c r="G13" s="40"/>
      <c r="H13" s="41"/>
      <c r="I13" s="42"/>
      <c r="J13" s="42"/>
      <c r="K13" s="43" t="s">
        <v>25</v>
      </c>
      <c r="L13" s="44" t="s">
        <v>26</v>
      </c>
      <c r="M13" s="45">
        <f>0.021+0.084</f>
        <v>0.10500000000000001</v>
      </c>
      <c r="N13" s="619">
        <f>6.121+10.739</f>
        <v>16.86</v>
      </c>
    </row>
    <row r="14" spans="1:14" s="35" customFormat="1" ht="15.75" customHeight="1" x14ac:dyDescent="0.2">
      <c r="A14" s="23">
        <f t="shared" si="0"/>
        <v>3</v>
      </c>
      <c r="B14" s="46" t="s">
        <v>27</v>
      </c>
      <c r="C14" s="47" t="s">
        <v>20</v>
      </c>
      <c r="D14" s="48">
        <v>20</v>
      </c>
      <c r="E14" s="49">
        <f t="shared" si="1"/>
        <v>0.02</v>
      </c>
      <c r="F14" s="39">
        <f>E14*220</f>
        <v>4.4000000000000004</v>
      </c>
      <c r="G14" s="50"/>
      <c r="H14" s="51"/>
      <c r="I14" s="52">
        <v>0.5</v>
      </c>
      <c r="J14" s="53" t="s">
        <v>28</v>
      </c>
      <c r="K14" s="54" t="s">
        <v>21</v>
      </c>
      <c r="L14" s="55" t="s">
        <v>22</v>
      </c>
      <c r="M14" s="56">
        <f>0.075+0.018</f>
        <v>9.2999999999999999E-2</v>
      </c>
      <c r="N14" s="620">
        <f>17.364+5.247</f>
        <v>22.611000000000001</v>
      </c>
    </row>
    <row r="15" spans="1:14" s="35" customFormat="1" ht="15.75" customHeight="1" x14ac:dyDescent="0.2">
      <c r="A15" s="23">
        <f t="shared" si="0"/>
        <v>4</v>
      </c>
      <c r="B15" s="46" t="s">
        <v>29</v>
      </c>
      <c r="C15" s="47" t="s">
        <v>20</v>
      </c>
      <c r="D15" s="48">
        <v>10</v>
      </c>
      <c r="E15" s="49">
        <f t="shared" si="1"/>
        <v>0.01</v>
      </c>
      <c r="F15" s="39">
        <f>E15*220</f>
        <v>2.2000000000000002</v>
      </c>
      <c r="G15" s="50"/>
      <c r="H15" s="51"/>
      <c r="I15" s="52"/>
      <c r="J15" s="52"/>
      <c r="K15" s="54" t="s">
        <v>21</v>
      </c>
      <c r="L15" s="57" t="s">
        <v>22</v>
      </c>
      <c r="M15" s="58">
        <v>0.16</v>
      </c>
      <c r="N15" s="620">
        <v>35.304000000000002</v>
      </c>
    </row>
    <row r="16" spans="1:14" s="35" customFormat="1" ht="15.75" customHeight="1" x14ac:dyDescent="0.2">
      <c r="A16" s="23">
        <f t="shared" si="0"/>
        <v>5</v>
      </c>
      <c r="B16" s="46" t="s">
        <v>36</v>
      </c>
      <c r="C16" s="47" t="s">
        <v>20</v>
      </c>
      <c r="D16" s="48">
        <v>40</v>
      </c>
      <c r="E16" s="49">
        <f t="shared" si="1"/>
        <v>0.04</v>
      </c>
      <c r="F16" s="39">
        <f>E16*220</f>
        <v>8.8000000000000007</v>
      </c>
      <c r="G16" s="50"/>
      <c r="H16" s="51"/>
      <c r="I16" s="52"/>
      <c r="J16" s="52"/>
      <c r="K16" s="59" t="s">
        <v>37</v>
      </c>
      <c r="L16" s="60" t="s">
        <v>38</v>
      </c>
      <c r="M16" s="56">
        <v>0.17399999999999999</v>
      </c>
      <c r="N16" s="621">
        <v>38.25</v>
      </c>
    </row>
    <row r="17" spans="1:14" s="35" customFormat="1" ht="15.75" customHeight="1" x14ac:dyDescent="0.2">
      <c r="A17" s="23">
        <f t="shared" si="0"/>
        <v>6</v>
      </c>
      <c r="B17" s="46" t="s">
        <v>39</v>
      </c>
      <c r="C17" s="47" t="s">
        <v>20</v>
      </c>
      <c r="D17" s="48">
        <v>30</v>
      </c>
      <c r="E17" s="49">
        <f t="shared" si="1"/>
        <v>0.03</v>
      </c>
      <c r="F17" s="39">
        <f>E17*220</f>
        <v>6.6</v>
      </c>
      <c r="G17" s="50"/>
      <c r="H17" s="51"/>
      <c r="I17" s="52"/>
      <c r="J17" s="52"/>
      <c r="K17" s="54" t="s">
        <v>25</v>
      </c>
      <c r="L17" s="61" t="s">
        <v>40</v>
      </c>
      <c r="M17" s="58">
        <v>0.01</v>
      </c>
      <c r="N17" s="620">
        <v>2.6930000000000001</v>
      </c>
    </row>
    <row r="18" spans="1:14" s="35" customFormat="1" ht="15.75" customHeight="1" x14ac:dyDescent="0.2">
      <c r="A18" s="23">
        <f t="shared" si="0"/>
        <v>7</v>
      </c>
      <c r="B18" s="46" t="s">
        <v>42</v>
      </c>
      <c r="C18" s="47" t="s">
        <v>20</v>
      </c>
      <c r="D18" s="48">
        <v>25</v>
      </c>
      <c r="E18" s="49">
        <f t="shared" si="1"/>
        <v>2.5000000000000001E-2</v>
      </c>
      <c r="F18" s="39">
        <f>E18*940</f>
        <v>23.5</v>
      </c>
      <c r="G18" s="50"/>
      <c r="H18" s="51"/>
      <c r="I18" s="52"/>
      <c r="J18" s="52"/>
      <c r="K18" s="59" t="s">
        <v>43</v>
      </c>
      <c r="L18" s="62" t="s">
        <v>44</v>
      </c>
      <c r="M18" s="56">
        <v>3.7999999999999999E-2</v>
      </c>
      <c r="N18" s="620">
        <v>22.132999999999999</v>
      </c>
    </row>
    <row r="19" spans="1:14" s="35" customFormat="1" ht="15.75" customHeight="1" x14ac:dyDescent="0.2">
      <c r="A19" s="23">
        <f t="shared" si="0"/>
        <v>8</v>
      </c>
      <c r="B19" s="46" t="s">
        <v>45</v>
      </c>
      <c r="C19" s="47" t="s">
        <v>20</v>
      </c>
      <c r="D19" s="48">
        <v>70</v>
      </c>
      <c r="E19" s="49">
        <f t="shared" si="1"/>
        <v>7.0000000000000007E-2</v>
      </c>
      <c r="F19" s="39">
        <f>E19*940</f>
        <v>65.800000000000011</v>
      </c>
      <c r="G19" s="50"/>
      <c r="H19" s="51"/>
      <c r="I19" s="52">
        <v>10</v>
      </c>
      <c r="J19" s="52" t="s">
        <v>21</v>
      </c>
      <c r="K19" s="54" t="s">
        <v>46</v>
      </c>
      <c r="L19" s="61" t="s">
        <v>47</v>
      </c>
      <c r="M19" s="45">
        <f>0.004+0.008</f>
        <v>1.2E-2</v>
      </c>
      <c r="N19" s="619">
        <f>0.511+3.6391</f>
        <v>4.1501000000000001</v>
      </c>
    </row>
    <row r="20" spans="1:14" s="35" customFormat="1" ht="16.5" customHeight="1" x14ac:dyDescent="0.2">
      <c r="A20" s="23">
        <f t="shared" si="0"/>
        <v>9</v>
      </c>
      <c r="B20" s="63" t="s">
        <v>48</v>
      </c>
      <c r="C20" s="47" t="s">
        <v>20</v>
      </c>
      <c r="D20" s="48">
        <v>250</v>
      </c>
      <c r="E20" s="49">
        <f t="shared" si="1"/>
        <v>0.25</v>
      </c>
      <c r="F20" s="39">
        <f>(0.35*940)+(0.1*220)</f>
        <v>351</v>
      </c>
      <c r="G20" s="50"/>
      <c r="H20" s="51"/>
      <c r="I20" s="52"/>
      <c r="J20" s="52"/>
      <c r="K20" s="64" t="s">
        <v>49</v>
      </c>
      <c r="L20" s="65" t="s">
        <v>50</v>
      </c>
      <c r="M20" s="45">
        <f>0.035+0.004</f>
        <v>3.9000000000000007E-2</v>
      </c>
      <c r="N20" s="622">
        <f>10.831+0.084</f>
        <v>10.914999999999999</v>
      </c>
    </row>
    <row r="21" spans="1:14" s="35" customFormat="1" ht="15.75" customHeight="1" x14ac:dyDescent="0.2">
      <c r="A21" s="23">
        <f t="shared" si="0"/>
        <v>10</v>
      </c>
      <c r="B21" s="46" t="s">
        <v>52</v>
      </c>
      <c r="C21" s="47" t="s">
        <v>20</v>
      </c>
      <c r="D21" s="48">
        <v>15</v>
      </c>
      <c r="E21" s="49">
        <f t="shared" si="1"/>
        <v>1.4999999999999999E-2</v>
      </c>
      <c r="F21" s="39">
        <f>E21*940</f>
        <v>14.1</v>
      </c>
      <c r="G21" s="50"/>
      <c r="H21" s="51"/>
      <c r="I21" s="52"/>
      <c r="J21" s="52"/>
      <c r="K21" s="59" t="s">
        <v>32</v>
      </c>
      <c r="L21" s="60" t="s">
        <v>53</v>
      </c>
      <c r="M21" s="58">
        <v>0.02</v>
      </c>
      <c r="N21" s="620">
        <v>30.611000000000001</v>
      </c>
    </row>
    <row r="22" spans="1:14" s="35" customFormat="1" ht="15.75" customHeight="1" x14ac:dyDescent="0.2">
      <c r="A22" s="23">
        <f t="shared" si="0"/>
        <v>11</v>
      </c>
      <c r="B22" s="46" t="s">
        <v>54</v>
      </c>
      <c r="C22" s="47" t="s">
        <v>20</v>
      </c>
      <c r="D22" s="48">
        <v>40</v>
      </c>
      <c r="E22" s="49">
        <f t="shared" si="1"/>
        <v>0.04</v>
      </c>
      <c r="F22" s="39">
        <f>E22*220</f>
        <v>8.8000000000000007</v>
      </c>
      <c r="G22" s="50"/>
      <c r="H22" s="51"/>
      <c r="I22" s="52"/>
      <c r="J22" s="52"/>
      <c r="K22" s="59" t="s">
        <v>21</v>
      </c>
      <c r="L22" s="60" t="s">
        <v>22</v>
      </c>
      <c r="M22" s="58">
        <v>0.04</v>
      </c>
      <c r="N22" s="620">
        <v>11.143000000000001</v>
      </c>
    </row>
    <row r="23" spans="1:14" s="35" customFormat="1" ht="18" customHeight="1" x14ac:dyDescent="0.2">
      <c r="A23" s="23">
        <f t="shared" si="0"/>
        <v>12</v>
      </c>
      <c r="B23" s="46" t="s">
        <v>55</v>
      </c>
      <c r="C23" s="47" t="s">
        <v>20</v>
      </c>
      <c r="D23" s="48">
        <v>80</v>
      </c>
      <c r="E23" s="49">
        <f t="shared" si="1"/>
        <v>0.08</v>
      </c>
      <c r="F23" s="39">
        <f>E23*220</f>
        <v>17.600000000000001</v>
      </c>
      <c r="G23" s="50"/>
      <c r="H23" s="51"/>
      <c r="I23" s="52"/>
      <c r="J23" s="52"/>
      <c r="K23" s="67" t="s">
        <v>56</v>
      </c>
      <c r="L23" s="60" t="s">
        <v>57</v>
      </c>
      <c r="M23" s="68">
        <v>0.06</v>
      </c>
      <c r="N23" s="622">
        <v>17.489000000000001</v>
      </c>
    </row>
    <row r="24" spans="1:14" s="35" customFormat="1" ht="15.75" customHeight="1" x14ac:dyDescent="0.2">
      <c r="A24" s="23">
        <f t="shared" si="0"/>
        <v>13</v>
      </c>
      <c r="B24" s="46" t="s">
        <v>61</v>
      </c>
      <c r="C24" s="47" t="s">
        <v>20</v>
      </c>
      <c r="D24" s="48">
        <v>50</v>
      </c>
      <c r="E24" s="49">
        <f t="shared" si="1"/>
        <v>0.05</v>
      </c>
      <c r="F24" s="39">
        <f>E24*220</f>
        <v>11</v>
      </c>
      <c r="G24" s="50"/>
      <c r="H24" s="51"/>
      <c r="I24" s="52"/>
      <c r="J24" s="52"/>
      <c r="K24" s="59" t="s">
        <v>37</v>
      </c>
      <c r="L24" s="60" t="s">
        <v>62</v>
      </c>
      <c r="M24" s="56">
        <f>0.021+0.012</f>
        <v>3.3000000000000002E-2</v>
      </c>
      <c r="N24" s="620">
        <f>5.654+3.498</f>
        <v>9.152000000000001</v>
      </c>
    </row>
    <row r="25" spans="1:14" s="35" customFormat="1" ht="15.75" customHeight="1" x14ac:dyDescent="0.2">
      <c r="A25" s="23">
        <f t="shared" si="0"/>
        <v>14</v>
      </c>
      <c r="B25" s="46" t="s">
        <v>63</v>
      </c>
      <c r="C25" s="47" t="s">
        <v>20</v>
      </c>
      <c r="D25" s="48">
        <v>50</v>
      </c>
      <c r="E25" s="49">
        <f t="shared" si="1"/>
        <v>0.05</v>
      </c>
      <c r="F25" s="39">
        <f>E25*940</f>
        <v>47</v>
      </c>
      <c r="G25" s="50"/>
      <c r="H25" s="51"/>
      <c r="I25" s="52"/>
      <c r="J25" s="52"/>
      <c r="K25" s="59" t="s">
        <v>64</v>
      </c>
      <c r="L25" s="66" t="s">
        <v>65</v>
      </c>
      <c r="M25" s="56">
        <v>1.7999999999999999E-2</v>
      </c>
      <c r="N25" s="621">
        <v>3.47</v>
      </c>
    </row>
    <row r="26" spans="1:14" s="35" customFormat="1" ht="15.75" customHeight="1" x14ac:dyDescent="0.2">
      <c r="A26" s="23">
        <f t="shared" si="0"/>
        <v>15</v>
      </c>
      <c r="B26" s="46" t="s">
        <v>67</v>
      </c>
      <c r="C26" s="47" t="s">
        <v>20</v>
      </c>
      <c r="D26" s="48">
        <v>6</v>
      </c>
      <c r="E26" s="49">
        <f t="shared" si="1"/>
        <v>6.0000000000000001E-3</v>
      </c>
      <c r="F26" s="39">
        <f>E26*940</f>
        <v>5.64</v>
      </c>
      <c r="G26" s="50"/>
      <c r="H26" s="51"/>
      <c r="I26" s="52"/>
      <c r="J26" s="52"/>
      <c r="K26" s="59" t="s">
        <v>21</v>
      </c>
      <c r="L26" s="55" t="s">
        <v>68</v>
      </c>
      <c r="M26" s="58">
        <v>0.14000000000000001</v>
      </c>
      <c r="N26" s="620">
        <v>40.807000000000002</v>
      </c>
    </row>
    <row r="27" spans="1:14" s="35" customFormat="1" ht="15.75" customHeight="1" x14ac:dyDescent="0.2">
      <c r="A27" s="23">
        <f t="shared" si="0"/>
        <v>16</v>
      </c>
      <c r="B27" s="46" t="s">
        <v>70</v>
      </c>
      <c r="C27" s="47" t="s">
        <v>20</v>
      </c>
      <c r="D27" s="48">
        <v>40</v>
      </c>
      <c r="E27" s="49">
        <f t="shared" si="1"/>
        <v>0.04</v>
      </c>
      <c r="F27" s="39">
        <f>E27*220</f>
        <v>8.8000000000000007</v>
      </c>
      <c r="G27" s="50"/>
      <c r="H27" s="51"/>
      <c r="I27" s="52"/>
      <c r="J27" s="52"/>
      <c r="K27" s="59" t="s">
        <v>37</v>
      </c>
      <c r="L27" s="60" t="s">
        <v>53</v>
      </c>
      <c r="M27" s="56">
        <v>3.5000000000000003E-2</v>
      </c>
      <c r="N27" s="620">
        <v>10.202</v>
      </c>
    </row>
    <row r="28" spans="1:14" s="35" customFormat="1" ht="15.75" customHeight="1" x14ac:dyDescent="0.2">
      <c r="A28" s="23">
        <f t="shared" si="0"/>
        <v>17</v>
      </c>
      <c r="B28" s="63" t="s">
        <v>72</v>
      </c>
      <c r="C28" s="47" t="s">
        <v>20</v>
      </c>
      <c r="D28" s="48">
        <v>45</v>
      </c>
      <c r="E28" s="49">
        <f t="shared" si="1"/>
        <v>4.4999999999999998E-2</v>
      </c>
      <c r="F28" s="39">
        <f>E28*940</f>
        <v>42.3</v>
      </c>
      <c r="G28" s="50"/>
      <c r="H28" s="51"/>
      <c r="I28" s="52">
        <v>93</v>
      </c>
      <c r="J28" s="52" t="s">
        <v>73</v>
      </c>
      <c r="K28" s="54" t="s">
        <v>34</v>
      </c>
      <c r="L28" s="69"/>
      <c r="M28" s="56">
        <v>9.6000000000000002E-2</v>
      </c>
      <c r="N28" s="620">
        <v>15.798</v>
      </c>
    </row>
    <row r="29" spans="1:14" s="35" customFormat="1" ht="15.75" customHeight="1" x14ac:dyDescent="0.2">
      <c r="A29" s="23">
        <f t="shared" si="0"/>
        <v>18</v>
      </c>
      <c r="B29" s="63" t="s">
        <v>74</v>
      </c>
      <c r="C29" s="47" t="s">
        <v>20</v>
      </c>
      <c r="D29" s="48">
        <v>45</v>
      </c>
      <c r="E29" s="49">
        <f t="shared" si="1"/>
        <v>4.4999999999999998E-2</v>
      </c>
      <c r="F29" s="39">
        <f>E29*940</f>
        <v>42.3</v>
      </c>
      <c r="G29" s="50"/>
      <c r="H29" s="51"/>
      <c r="I29" s="52">
        <v>95</v>
      </c>
      <c r="J29" s="52" t="s">
        <v>73</v>
      </c>
      <c r="K29" s="54" t="s">
        <v>34</v>
      </c>
      <c r="L29" s="55"/>
      <c r="M29" s="58">
        <v>0.11</v>
      </c>
      <c r="N29" s="620">
        <v>18.100999999999999</v>
      </c>
    </row>
    <row r="30" spans="1:14" s="35" customFormat="1" ht="15.75" customHeight="1" x14ac:dyDescent="0.2">
      <c r="A30" s="23">
        <f t="shared" si="0"/>
        <v>19</v>
      </c>
      <c r="B30" s="46" t="s">
        <v>75</v>
      </c>
      <c r="C30" s="47" t="s">
        <v>20</v>
      </c>
      <c r="D30" s="48">
        <v>20</v>
      </c>
      <c r="E30" s="49">
        <f t="shared" si="1"/>
        <v>0.02</v>
      </c>
      <c r="F30" s="39">
        <f>E30*220</f>
        <v>4.4000000000000004</v>
      </c>
      <c r="G30" s="50"/>
      <c r="H30" s="51"/>
      <c r="I30" s="52"/>
      <c r="J30" s="52"/>
      <c r="K30" s="54" t="s">
        <v>32</v>
      </c>
      <c r="L30" s="55" t="s">
        <v>22</v>
      </c>
      <c r="M30" s="58">
        <v>0.01</v>
      </c>
      <c r="N30" s="621">
        <v>1.2775000000000001</v>
      </c>
    </row>
    <row r="31" spans="1:14" s="35" customFormat="1" ht="15.75" customHeight="1" x14ac:dyDescent="0.2">
      <c r="A31" s="23">
        <f t="shared" si="0"/>
        <v>20</v>
      </c>
      <c r="B31" s="46" t="s">
        <v>77</v>
      </c>
      <c r="C31" s="47" t="s">
        <v>20</v>
      </c>
      <c r="D31" s="48">
        <v>30</v>
      </c>
      <c r="E31" s="49">
        <f t="shared" si="1"/>
        <v>0.03</v>
      </c>
      <c r="F31" s="39">
        <f>E31*940</f>
        <v>28.2</v>
      </c>
      <c r="G31" s="50"/>
      <c r="H31" s="51"/>
      <c r="I31" s="52"/>
      <c r="J31" s="52"/>
      <c r="K31" s="59" t="s">
        <v>32</v>
      </c>
      <c r="L31" s="62"/>
      <c r="M31" s="56">
        <f>0.012+0.004</f>
        <v>1.6E-2</v>
      </c>
      <c r="N31" s="620">
        <f>1.533+1.166</f>
        <v>2.6989999999999998</v>
      </c>
    </row>
    <row r="32" spans="1:14" s="35" customFormat="1" ht="22.5" customHeight="1" x14ac:dyDescent="0.2">
      <c r="A32" s="23">
        <f t="shared" si="0"/>
        <v>21</v>
      </c>
      <c r="B32" s="46" t="s">
        <v>78</v>
      </c>
      <c r="C32" s="47" t="s">
        <v>20</v>
      </c>
      <c r="D32" s="48">
        <v>65</v>
      </c>
      <c r="E32" s="49">
        <f t="shared" si="1"/>
        <v>6.5000000000000002E-2</v>
      </c>
      <c r="F32" s="39">
        <f>E32*220</f>
        <v>14.3</v>
      </c>
      <c r="G32" s="50"/>
      <c r="H32" s="51"/>
      <c r="I32" s="52"/>
      <c r="J32" s="52"/>
      <c r="K32" s="59" t="s">
        <v>79</v>
      </c>
      <c r="L32" s="60" t="s">
        <v>80</v>
      </c>
      <c r="M32" s="68">
        <v>0.18</v>
      </c>
      <c r="N32" s="622">
        <v>29.620999999999999</v>
      </c>
    </row>
    <row r="33" spans="1:14" s="35" customFormat="1" ht="15.75" customHeight="1" x14ac:dyDescent="0.2">
      <c r="A33" s="23">
        <f t="shared" si="0"/>
        <v>22</v>
      </c>
      <c r="B33" s="46" t="s">
        <v>83</v>
      </c>
      <c r="C33" s="47" t="s">
        <v>20</v>
      </c>
      <c r="D33" s="48">
        <v>50</v>
      </c>
      <c r="E33" s="49">
        <f t="shared" si="1"/>
        <v>0.05</v>
      </c>
      <c r="F33" s="39">
        <f>E33*940</f>
        <v>47</v>
      </c>
      <c r="G33" s="50"/>
      <c r="H33" s="51"/>
      <c r="I33" s="52"/>
      <c r="J33" s="52"/>
      <c r="K33" s="59" t="s">
        <v>21</v>
      </c>
      <c r="L33" s="60" t="s">
        <v>60</v>
      </c>
      <c r="M33" s="56">
        <v>1.4E-2</v>
      </c>
      <c r="N33" s="620">
        <v>2.6989999999999998</v>
      </c>
    </row>
    <row r="34" spans="1:14" s="35" customFormat="1" ht="15.75" customHeight="1" x14ac:dyDescent="0.2">
      <c r="A34" s="23">
        <f t="shared" si="0"/>
        <v>23</v>
      </c>
      <c r="B34" s="46" t="s">
        <v>84</v>
      </c>
      <c r="C34" s="47" t="s">
        <v>20</v>
      </c>
      <c r="D34" s="48">
        <v>20</v>
      </c>
      <c r="E34" s="49">
        <f t="shared" si="1"/>
        <v>0.02</v>
      </c>
      <c r="F34" s="39">
        <f>E34*940</f>
        <v>18.8</v>
      </c>
      <c r="G34" s="50"/>
      <c r="H34" s="51"/>
      <c r="I34" s="52"/>
      <c r="J34" s="52"/>
      <c r="K34" s="59" t="s">
        <v>32</v>
      </c>
      <c r="L34" s="60" t="s">
        <v>85</v>
      </c>
      <c r="M34" s="56">
        <f>0.008+0.006</f>
        <v>1.4E-2</v>
      </c>
      <c r="N34" s="621">
        <f>1.857+3.6391</f>
        <v>5.4961000000000002</v>
      </c>
    </row>
    <row r="35" spans="1:14" s="35" customFormat="1" ht="15.75" customHeight="1" x14ac:dyDescent="0.2">
      <c r="A35" s="23">
        <f t="shared" si="0"/>
        <v>24</v>
      </c>
      <c r="B35" s="46" t="s">
        <v>86</v>
      </c>
      <c r="C35" s="47" t="s">
        <v>20</v>
      </c>
      <c r="D35" s="48">
        <v>40</v>
      </c>
      <c r="E35" s="49">
        <f t="shared" si="1"/>
        <v>0.04</v>
      </c>
      <c r="F35" s="39">
        <f>E35*220</f>
        <v>8.8000000000000007</v>
      </c>
      <c r="G35" s="50"/>
      <c r="H35" s="51"/>
      <c r="I35" s="52"/>
      <c r="J35" s="52"/>
      <c r="K35" s="59" t="s">
        <v>37</v>
      </c>
      <c r="L35" s="60" t="s">
        <v>87</v>
      </c>
      <c r="M35" s="58">
        <v>0.04</v>
      </c>
      <c r="N35" s="620">
        <v>11.659000000000001</v>
      </c>
    </row>
    <row r="36" spans="1:14" s="35" customFormat="1" ht="15.75" customHeight="1" x14ac:dyDescent="0.2">
      <c r="A36" s="23">
        <f t="shared" si="0"/>
        <v>25</v>
      </c>
      <c r="B36" s="46" t="s">
        <v>88</v>
      </c>
      <c r="C36" s="47" t="s">
        <v>20</v>
      </c>
      <c r="D36" s="48">
        <v>100</v>
      </c>
      <c r="E36" s="49">
        <f t="shared" si="1"/>
        <v>0.1</v>
      </c>
      <c r="F36" s="39">
        <f>E36*220</f>
        <v>22</v>
      </c>
      <c r="G36" s="50"/>
      <c r="H36" s="51"/>
      <c r="I36" s="52"/>
      <c r="J36" s="52"/>
      <c r="K36" s="54" t="s">
        <v>21</v>
      </c>
      <c r="L36" s="55" t="s">
        <v>22</v>
      </c>
      <c r="M36" s="58">
        <v>7.0000000000000007E-2</v>
      </c>
      <c r="N36" s="620">
        <v>16.948</v>
      </c>
    </row>
    <row r="37" spans="1:14" s="35" customFormat="1" ht="15.75" customHeight="1" x14ac:dyDescent="0.2">
      <c r="A37" s="23">
        <f t="shared" si="0"/>
        <v>26</v>
      </c>
      <c r="B37" s="70" t="s">
        <v>89</v>
      </c>
      <c r="C37" s="71" t="s">
        <v>20</v>
      </c>
      <c r="D37" s="72">
        <v>20</v>
      </c>
      <c r="E37" s="49">
        <f t="shared" si="1"/>
        <v>0.02</v>
      </c>
      <c r="F37" s="39">
        <f>E37*220</f>
        <v>4.4000000000000004</v>
      </c>
      <c r="G37" s="50"/>
      <c r="H37" s="51"/>
      <c r="I37" s="52"/>
      <c r="J37" s="52"/>
      <c r="K37" s="59" t="s">
        <v>25</v>
      </c>
      <c r="L37" s="60" t="s">
        <v>90</v>
      </c>
      <c r="M37" s="56">
        <v>0.17499999999999999</v>
      </c>
      <c r="N37" s="620">
        <v>28.797999999999998</v>
      </c>
    </row>
    <row r="38" spans="1:14" s="35" customFormat="1" ht="15.75" customHeight="1" thickBot="1" x14ac:dyDescent="0.25">
      <c r="A38" s="23">
        <f t="shared" si="0"/>
        <v>27</v>
      </c>
      <c r="B38" s="70" t="s">
        <v>91</v>
      </c>
      <c r="C38" s="73" t="s">
        <v>20</v>
      </c>
      <c r="D38" s="74">
        <v>10</v>
      </c>
      <c r="E38" s="27">
        <f t="shared" si="1"/>
        <v>0.01</v>
      </c>
      <c r="F38" s="39">
        <f>E38*940</f>
        <v>9.4</v>
      </c>
      <c r="G38" s="75"/>
      <c r="H38" s="76"/>
      <c r="I38" s="77"/>
      <c r="J38" s="77"/>
      <c r="K38" s="78" t="s">
        <v>92</v>
      </c>
      <c r="L38" s="79" t="s">
        <v>93</v>
      </c>
      <c r="M38" s="58">
        <v>0.13</v>
      </c>
      <c r="N38" s="621">
        <v>19.068999999999999</v>
      </c>
    </row>
    <row r="39" spans="1:14" s="90" customFormat="1" ht="17.100000000000001" customHeight="1" thickBot="1" x14ac:dyDescent="0.25">
      <c r="A39" s="80"/>
      <c r="B39" s="421" t="s">
        <v>98</v>
      </c>
      <c r="C39" s="422"/>
      <c r="D39" s="81">
        <f>SUM(D12:D38)</f>
        <v>1231</v>
      </c>
      <c r="E39" s="82">
        <f>SUM(E12:E38)</f>
        <v>1.2310000000000005</v>
      </c>
      <c r="F39" s="83">
        <f>SUM(F12:F38)</f>
        <v>830.33999999999969</v>
      </c>
      <c r="G39" s="84">
        <f>SUM(G13:G38)</f>
        <v>0</v>
      </c>
      <c r="H39" s="85">
        <f>SUM(H13:H38)</f>
        <v>0</v>
      </c>
      <c r="I39" s="86"/>
      <c r="J39" s="86"/>
      <c r="K39" s="87"/>
      <c r="L39" s="88"/>
      <c r="M39" s="89">
        <f>SUM(M12:M38)</f>
        <v>1.8560000000000003</v>
      </c>
      <c r="N39" s="623">
        <f>SUM(N12:N38)</f>
        <v>435.39069999999998</v>
      </c>
    </row>
    <row r="40" spans="1:14" s="90" customFormat="1" ht="17.100000000000001" customHeight="1" thickBot="1" x14ac:dyDescent="0.25">
      <c r="A40" s="80"/>
      <c r="B40" s="91" t="s">
        <v>99</v>
      </c>
      <c r="C40" s="175"/>
      <c r="D40" s="81"/>
      <c r="E40" s="82"/>
      <c r="F40" s="92"/>
      <c r="G40" s="84"/>
      <c r="H40" s="85"/>
      <c r="I40" s="86"/>
      <c r="J40" s="86"/>
      <c r="K40" s="87"/>
      <c r="L40" s="88"/>
      <c r="M40" s="93"/>
      <c r="N40" s="624"/>
    </row>
    <row r="41" spans="1:14" s="35" customFormat="1" ht="15.75" customHeight="1" x14ac:dyDescent="0.2">
      <c r="A41" s="94">
        <v>1</v>
      </c>
      <c r="B41" s="46" t="s">
        <v>105</v>
      </c>
      <c r="C41" s="635" t="s">
        <v>101</v>
      </c>
      <c r="D41" s="639">
        <v>30</v>
      </c>
      <c r="E41" s="40">
        <f t="shared" ref="E41:E61" si="2">D41/1000</f>
        <v>0.03</v>
      </c>
      <c r="F41" s="41">
        <f t="shared" ref="F41:F61" si="3">E41*980</f>
        <v>29.4</v>
      </c>
      <c r="G41" s="50"/>
      <c r="H41" s="51"/>
      <c r="I41" s="52"/>
      <c r="J41" s="52"/>
      <c r="K41" s="95" t="s">
        <v>51</v>
      </c>
      <c r="L41" s="55" t="s">
        <v>103</v>
      </c>
      <c r="M41" s="98">
        <v>6.2E-2</v>
      </c>
      <c r="N41" s="413">
        <v>19.984999999999999</v>
      </c>
    </row>
    <row r="42" spans="1:14" s="35" customFormat="1" ht="15.75" customHeight="1" x14ac:dyDescent="0.2">
      <c r="A42" s="94">
        <f t="shared" ref="A42:A61" si="4">A41+1</f>
        <v>2</v>
      </c>
      <c r="B42" s="46" t="s">
        <v>48</v>
      </c>
      <c r="C42" s="635" t="s">
        <v>101</v>
      </c>
      <c r="D42" s="639">
        <v>80</v>
      </c>
      <c r="E42" s="40">
        <f t="shared" si="2"/>
        <v>0.08</v>
      </c>
      <c r="F42" s="41">
        <f t="shared" si="3"/>
        <v>78.400000000000006</v>
      </c>
      <c r="G42" s="50"/>
      <c r="H42" s="51"/>
      <c r="I42" s="52">
        <v>60</v>
      </c>
      <c r="J42" s="52" t="s">
        <v>106</v>
      </c>
      <c r="K42" s="95" t="s">
        <v>51</v>
      </c>
      <c r="L42" s="62" t="s">
        <v>107</v>
      </c>
      <c r="M42" s="96">
        <f>0.025+0.13+0.009</f>
        <v>0.16400000000000001</v>
      </c>
      <c r="N42" s="413">
        <f>4.811+30.922+7.572</f>
        <v>43.305000000000007</v>
      </c>
    </row>
    <row r="43" spans="1:14" s="35" customFormat="1" ht="15.75" customHeight="1" x14ac:dyDescent="0.2">
      <c r="A43" s="94">
        <f t="shared" si="4"/>
        <v>3</v>
      </c>
      <c r="B43" s="46" t="s">
        <v>108</v>
      </c>
      <c r="C43" s="635" t="s">
        <v>101</v>
      </c>
      <c r="D43" s="639">
        <v>20</v>
      </c>
      <c r="E43" s="40">
        <f t="shared" si="2"/>
        <v>0.02</v>
      </c>
      <c r="F43" s="41">
        <f t="shared" si="3"/>
        <v>19.600000000000001</v>
      </c>
      <c r="G43" s="50"/>
      <c r="H43" s="51"/>
      <c r="I43" s="52"/>
      <c r="J43" s="52"/>
      <c r="K43" s="95" t="s">
        <v>51</v>
      </c>
      <c r="L43" s="61" t="s">
        <v>109</v>
      </c>
      <c r="M43" s="96">
        <v>1.0999999999999999E-2</v>
      </c>
      <c r="N43" s="413">
        <v>11.146000000000001</v>
      </c>
    </row>
    <row r="44" spans="1:14" s="35" customFormat="1" ht="15.75" customHeight="1" x14ac:dyDescent="0.2">
      <c r="A44" s="94">
        <f t="shared" si="4"/>
        <v>4</v>
      </c>
      <c r="B44" s="46" t="s">
        <v>63</v>
      </c>
      <c r="C44" s="635" t="s">
        <v>101</v>
      </c>
      <c r="D44" s="639">
        <v>30</v>
      </c>
      <c r="E44" s="40">
        <f t="shared" si="2"/>
        <v>0.03</v>
      </c>
      <c r="F44" s="41">
        <f t="shared" si="3"/>
        <v>29.4</v>
      </c>
      <c r="G44" s="50"/>
      <c r="H44" s="51"/>
      <c r="I44" s="52"/>
      <c r="J44" s="52"/>
      <c r="K44" s="95" t="s">
        <v>51</v>
      </c>
      <c r="L44" s="62" t="s">
        <v>65</v>
      </c>
      <c r="M44" s="98">
        <f>0.072</f>
        <v>7.1999999999999995E-2</v>
      </c>
      <c r="N44" s="413">
        <v>17.038</v>
      </c>
    </row>
    <row r="45" spans="1:14" s="35" customFormat="1" ht="15.75" customHeight="1" x14ac:dyDescent="0.2">
      <c r="A45" s="94">
        <f t="shared" si="4"/>
        <v>5</v>
      </c>
      <c r="B45" s="46" t="s">
        <v>75</v>
      </c>
      <c r="C45" s="635" t="s">
        <v>101</v>
      </c>
      <c r="D45" s="639">
        <v>30</v>
      </c>
      <c r="E45" s="40">
        <f t="shared" si="2"/>
        <v>0.03</v>
      </c>
      <c r="F45" s="41">
        <f t="shared" si="3"/>
        <v>29.4</v>
      </c>
      <c r="G45" s="50"/>
      <c r="H45" s="51"/>
      <c r="I45" s="52"/>
      <c r="J45" s="52"/>
      <c r="K45" s="95" t="s">
        <v>51</v>
      </c>
      <c r="L45" s="60" t="s">
        <v>113</v>
      </c>
      <c r="M45" s="98">
        <v>7.0000000000000007E-2</v>
      </c>
      <c r="N45" s="625">
        <v>49.765999999999998</v>
      </c>
    </row>
    <row r="46" spans="1:14" s="35" customFormat="1" ht="15.75" customHeight="1" x14ac:dyDescent="0.2">
      <c r="A46" s="94">
        <f t="shared" si="4"/>
        <v>6</v>
      </c>
      <c r="B46" s="46" t="s">
        <v>114</v>
      </c>
      <c r="C46" s="635" t="s">
        <v>101</v>
      </c>
      <c r="D46" s="639">
        <v>50</v>
      </c>
      <c r="E46" s="40">
        <f t="shared" si="2"/>
        <v>0.05</v>
      </c>
      <c r="F46" s="41">
        <f t="shared" si="3"/>
        <v>49</v>
      </c>
      <c r="G46" s="50"/>
      <c r="H46" s="51"/>
      <c r="I46" s="52"/>
      <c r="J46" s="52"/>
      <c r="K46" s="95" t="s">
        <v>51</v>
      </c>
      <c r="L46" s="55" t="s">
        <v>115</v>
      </c>
      <c r="M46" s="96">
        <v>4.4999999999999998E-2</v>
      </c>
      <c r="N46" s="625">
        <v>20.3231</v>
      </c>
    </row>
    <row r="47" spans="1:14" s="35" customFormat="1" ht="15.75" customHeight="1" x14ac:dyDescent="0.2">
      <c r="A47" s="94">
        <f t="shared" si="4"/>
        <v>7</v>
      </c>
      <c r="B47" s="46" t="s">
        <v>117</v>
      </c>
      <c r="C47" s="635" t="s">
        <v>101</v>
      </c>
      <c r="D47" s="639">
        <v>50</v>
      </c>
      <c r="E47" s="40">
        <f t="shared" si="2"/>
        <v>0.05</v>
      </c>
      <c r="F47" s="41">
        <f t="shared" si="3"/>
        <v>49</v>
      </c>
      <c r="G47" s="50"/>
      <c r="H47" s="51"/>
      <c r="I47" s="52"/>
      <c r="J47" s="52"/>
      <c r="K47" s="95" t="s">
        <v>51</v>
      </c>
      <c r="L47" s="55" t="s">
        <v>118</v>
      </c>
      <c r="M47" s="98">
        <f>0.02+0.035</f>
        <v>5.5000000000000007E-2</v>
      </c>
      <c r="N47" s="625">
        <f>4.7572+23.242</f>
        <v>27.999200000000002</v>
      </c>
    </row>
    <row r="48" spans="1:14" s="35" customFormat="1" ht="15.75" customHeight="1" x14ac:dyDescent="0.2">
      <c r="A48" s="94">
        <f t="shared" si="4"/>
        <v>8</v>
      </c>
      <c r="B48" s="46" t="s">
        <v>119</v>
      </c>
      <c r="C48" s="635" t="s">
        <v>101</v>
      </c>
      <c r="D48" s="639">
        <v>40</v>
      </c>
      <c r="E48" s="40">
        <f t="shared" si="2"/>
        <v>0.04</v>
      </c>
      <c r="F48" s="41">
        <f t="shared" si="3"/>
        <v>39.200000000000003</v>
      </c>
      <c r="G48" s="50"/>
      <c r="H48" s="51"/>
      <c r="I48" s="52"/>
      <c r="J48" s="52"/>
      <c r="K48" s="95" t="s">
        <v>51</v>
      </c>
      <c r="L48" s="62" t="s">
        <v>120</v>
      </c>
      <c r="M48" s="96">
        <v>3.0000000000000001E-3</v>
      </c>
      <c r="N48" s="413">
        <v>1.992</v>
      </c>
    </row>
    <row r="49" spans="1:14" s="35" customFormat="1" ht="15.75" customHeight="1" x14ac:dyDescent="0.2">
      <c r="A49" s="94">
        <f t="shared" si="4"/>
        <v>9</v>
      </c>
      <c r="B49" s="46" t="s">
        <v>121</v>
      </c>
      <c r="C49" s="635" t="s">
        <v>101</v>
      </c>
      <c r="D49" s="639">
        <v>30</v>
      </c>
      <c r="E49" s="50">
        <f t="shared" si="2"/>
        <v>0.03</v>
      </c>
      <c r="F49" s="51">
        <f t="shared" si="3"/>
        <v>29.4</v>
      </c>
      <c r="G49" s="51"/>
      <c r="H49" s="51"/>
      <c r="I49" s="52"/>
      <c r="J49" s="52"/>
      <c r="K49" s="95" t="s">
        <v>51</v>
      </c>
      <c r="L49" s="60"/>
      <c r="M49" s="98">
        <v>0.01</v>
      </c>
      <c r="N49" s="413">
        <v>12.817</v>
      </c>
    </row>
    <row r="50" spans="1:14" s="35" customFormat="1" ht="15.75" customHeight="1" x14ac:dyDescent="0.2">
      <c r="A50" s="94">
        <f t="shared" si="4"/>
        <v>10</v>
      </c>
      <c r="B50" s="46" t="s">
        <v>123</v>
      </c>
      <c r="C50" s="635" t="s">
        <v>101</v>
      </c>
      <c r="D50" s="639">
        <v>20</v>
      </c>
      <c r="E50" s="40">
        <f t="shared" si="2"/>
        <v>0.02</v>
      </c>
      <c r="F50" s="41">
        <f t="shared" si="3"/>
        <v>19.600000000000001</v>
      </c>
      <c r="G50" s="50"/>
      <c r="H50" s="51"/>
      <c r="I50" s="52"/>
      <c r="J50" s="52"/>
      <c r="K50" s="95" t="s">
        <v>32</v>
      </c>
      <c r="L50" s="55" t="s">
        <v>124</v>
      </c>
      <c r="M50" s="96">
        <v>1.4999999999999999E-2</v>
      </c>
      <c r="N50" s="413">
        <v>19.396999999999998</v>
      </c>
    </row>
    <row r="51" spans="1:14" s="35" customFormat="1" ht="15.75" customHeight="1" x14ac:dyDescent="0.2">
      <c r="A51" s="94">
        <f t="shared" si="4"/>
        <v>11</v>
      </c>
      <c r="B51" s="46" t="s">
        <v>83</v>
      </c>
      <c r="C51" s="635" t="s">
        <v>101</v>
      </c>
      <c r="D51" s="639">
        <v>25</v>
      </c>
      <c r="E51" s="40">
        <f t="shared" si="2"/>
        <v>2.5000000000000001E-2</v>
      </c>
      <c r="F51" s="41">
        <f t="shared" si="3"/>
        <v>24.5</v>
      </c>
      <c r="G51" s="50"/>
      <c r="H51" s="51"/>
      <c r="I51" s="52"/>
      <c r="J51" s="52"/>
      <c r="K51" s="95" t="s">
        <v>51</v>
      </c>
      <c r="L51" s="60" t="s">
        <v>125</v>
      </c>
      <c r="M51" s="98">
        <v>4.5999999999999999E-2</v>
      </c>
      <c r="N51" s="625">
        <v>30.545000000000002</v>
      </c>
    </row>
    <row r="52" spans="1:14" s="35" customFormat="1" ht="15.75" customHeight="1" x14ac:dyDescent="0.2">
      <c r="A52" s="94">
        <f t="shared" si="4"/>
        <v>12</v>
      </c>
      <c r="B52" s="46" t="s">
        <v>84</v>
      </c>
      <c r="C52" s="635" t="s">
        <v>101</v>
      </c>
      <c r="D52" s="639">
        <v>60</v>
      </c>
      <c r="E52" s="40">
        <f t="shared" si="2"/>
        <v>0.06</v>
      </c>
      <c r="F52" s="41">
        <f t="shared" si="3"/>
        <v>58.8</v>
      </c>
      <c r="G52" s="50"/>
      <c r="H52" s="51"/>
      <c r="I52" s="52"/>
      <c r="J52" s="52"/>
      <c r="K52" s="95" t="s">
        <v>51</v>
      </c>
      <c r="L52" s="55" t="s">
        <v>85</v>
      </c>
      <c r="M52" s="96">
        <v>4.7E-2</v>
      </c>
      <c r="N52" s="625">
        <v>23.934999999999999</v>
      </c>
    </row>
    <row r="53" spans="1:14" s="35" customFormat="1" ht="15.75" customHeight="1" x14ac:dyDescent="0.2">
      <c r="A53" s="94">
        <f t="shared" si="4"/>
        <v>13</v>
      </c>
      <c r="B53" s="46" t="s">
        <v>128</v>
      </c>
      <c r="C53" s="635" t="s">
        <v>101</v>
      </c>
      <c r="D53" s="639">
        <v>40</v>
      </c>
      <c r="E53" s="40">
        <f t="shared" si="2"/>
        <v>0.04</v>
      </c>
      <c r="F53" s="41">
        <f t="shared" si="3"/>
        <v>39.200000000000003</v>
      </c>
      <c r="G53" s="50"/>
      <c r="H53" s="51"/>
      <c r="I53" s="52"/>
      <c r="J53" s="52"/>
      <c r="K53" s="95" t="s">
        <v>51</v>
      </c>
      <c r="L53" s="55" t="s">
        <v>26</v>
      </c>
      <c r="M53" s="98">
        <v>0.04</v>
      </c>
      <c r="N53" s="413">
        <v>40.531999999999996</v>
      </c>
    </row>
    <row r="54" spans="1:14" s="35" customFormat="1" ht="15.75" customHeight="1" x14ac:dyDescent="0.2">
      <c r="A54" s="94">
        <f t="shared" si="4"/>
        <v>14</v>
      </c>
      <c r="B54" s="46" t="s">
        <v>129</v>
      </c>
      <c r="C54" s="635" t="s">
        <v>101</v>
      </c>
      <c r="D54" s="639">
        <v>80</v>
      </c>
      <c r="E54" s="40">
        <f t="shared" si="2"/>
        <v>0.08</v>
      </c>
      <c r="F54" s="41">
        <f t="shared" si="3"/>
        <v>78.400000000000006</v>
      </c>
      <c r="G54" s="50"/>
      <c r="H54" s="51"/>
      <c r="I54" s="52"/>
      <c r="J54" s="52"/>
      <c r="K54" s="95" t="s">
        <v>51</v>
      </c>
      <c r="L54" s="62" t="s">
        <v>130</v>
      </c>
      <c r="M54" s="96">
        <v>0.105</v>
      </c>
      <c r="N54" s="413">
        <v>74.012</v>
      </c>
    </row>
    <row r="55" spans="1:14" s="35" customFormat="1" ht="15.75" customHeight="1" x14ac:dyDescent="0.2">
      <c r="A55" s="94">
        <f t="shared" si="4"/>
        <v>15</v>
      </c>
      <c r="B55" s="46" t="s">
        <v>131</v>
      </c>
      <c r="C55" s="635" t="s">
        <v>101</v>
      </c>
      <c r="D55" s="639">
        <v>20</v>
      </c>
      <c r="E55" s="40">
        <f t="shared" si="2"/>
        <v>0.02</v>
      </c>
      <c r="F55" s="41">
        <f t="shared" si="3"/>
        <v>19.600000000000001</v>
      </c>
      <c r="G55" s="50"/>
      <c r="H55" s="51"/>
      <c r="I55" s="52"/>
      <c r="J55" s="52"/>
      <c r="K55" s="95" t="s">
        <v>51</v>
      </c>
      <c r="L55" s="55" t="s">
        <v>132</v>
      </c>
      <c r="M55" s="96">
        <f>0.014+0.014</f>
        <v>2.8000000000000001E-2</v>
      </c>
      <c r="N55" s="413">
        <f>2.694+9.297</f>
        <v>11.991</v>
      </c>
    </row>
    <row r="56" spans="1:14" s="35" customFormat="1" ht="15.75" customHeight="1" x14ac:dyDescent="0.2">
      <c r="A56" s="94">
        <f t="shared" si="4"/>
        <v>16</v>
      </c>
      <c r="B56" s="46" t="s">
        <v>134</v>
      </c>
      <c r="C56" s="635" t="s">
        <v>101</v>
      </c>
      <c r="D56" s="639">
        <v>30</v>
      </c>
      <c r="E56" s="40">
        <f t="shared" si="2"/>
        <v>0.03</v>
      </c>
      <c r="F56" s="41">
        <f t="shared" si="3"/>
        <v>29.4</v>
      </c>
      <c r="G56" s="50"/>
      <c r="H56" s="51"/>
      <c r="I56" s="52"/>
      <c r="J56" s="52"/>
      <c r="K56" s="95" t="s">
        <v>51</v>
      </c>
      <c r="L56" s="55" t="s">
        <v>135</v>
      </c>
      <c r="M56" s="96">
        <v>4.0000000000000001E-3</v>
      </c>
      <c r="N56" s="413">
        <v>4.0529999999999999</v>
      </c>
    </row>
    <row r="57" spans="1:14" s="35" customFormat="1" ht="15.75" customHeight="1" x14ac:dyDescent="0.2">
      <c r="A57" s="94">
        <f t="shared" si="4"/>
        <v>17</v>
      </c>
      <c r="B57" s="46" t="s">
        <v>136</v>
      </c>
      <c r="C57" s="635" t="s">
        <v>101</v>
      </c>
      <c r="D57" s="639">
        <v>25</v>
      </c>
      <c r="E57" s="40">
        <f t="shared" si="2"/>
        <v>2.5000000000000001E-2</v>
      </c>
      <c r="F57" s="41">
        <f t="shared" si="3"/>
        <v>24.5</v>
      </c>
      <c r="G57" s="50"/>
      <c r="H57" s="51"/>
      <c r="I57" s="52"/>
      <c r="J57" s="52"/>
      <c r="K57" s="95" t="s">
        <v>51</v>
      </c>
      <c r="L57" s="62" t="s">
        <v>137</v>
      </c>
      <c r="M57" s="96">
        <f>0.067</f>
        <v>6.7000000000000004E-2</v>
      </c>
      <c r="N57" s="413">
        <v>56.371000000000002</v>
      </c>
    </row>
    <row r="58" spans="1:14" s="35" customFormat="1" ht="15.75" customHeight="1" x14ac:dyDescent="0.2">
      <c r="A58" s="94">
        <f t="shared" si="4"/>
        <v>18</v>
      </c>
      <c r="B58" s="46" t="s">
        <v>94</v>
      </c>
      <c r="C58" s="635" t="s">
        <v>101</v>
      </c>
      <c r="D58" s="639">
        <v>20</v>
      </c>
      <c r="E58" s="40">
        <f t="shared" si="2"/>
        <v>0.02</v>
      </c>
      <c r="F58" s="41">
        <f t="shared" si="3"/>
        <v>19.600000000000001</v>
      </c>
      <c r="G58" s="50"/>
      <c r="H58" s="51"/>
      <c r="I58" s="52"/>
      <c r="J58" s="52"/>
      <c r="K58" s="95" t="s">
        <v>51</v>
      </c>
      <c r="L58" s="62" t="s">
        <v>95</v>
      </c>
      <c r="M58" s="96">
        <f>0.035</f>
        <v>3.5000000000000003E-2</v>
      </c>
      <c r="N58" s="625">
        <v>22.922999999999998</v>
      </c>
    </row>
    <row r="59" spans="1:14" s="35" customFormat="1" ht="15.75" customHeight="1" x14ac:dyDescent="0.2">
      <c r="A59" s="94">
        <f t="shared" si="4"/>
        <v>19</v>
      </c>
      <c r="B59" s="46" t="s">
        <v>138</v>
      </c>
      <c r="C59" s="635" t="s">
        <v>101</v>
      </c>
      <c r="D59" s="639">
        <v>40</v>
      </c>
      <c r="E59" s="40">
        <f t="shared" si="2"/>
        <v>0.04</v>
      </c>
      <c r="F59" s="41">
        <f t="shared" si="3"/>
        <v>39.200000000000003</v>
      </c>
      <c r="G59" s="50"/>
      <c r="H59" s="51"/>
      <c r="I59" s="52"/>
      <c r="J59" s="52"/>
      <c r="K59" s="95" t="s">
        <v>51</v>
      </c>
      <c r="L59" s="55" t="s">
        <v>139</v>
      </c>
      <c r="M59" s="96">
        <v>8.0000000000000002E-3</v>
      </c>
      <c r="N59" s="413">
        <v>10.253</v>
      </c>
    </row>
    <row r="60" spans="1:14" s="35" customFormat="1" ht="15.75" customHeight="1" x14ac:dyDescent="0.2">
      <c r="A60" s="94">
        <f t="shared" si="4"/>
        <v>20</v>
      </c>
      <c r="B60" s="46" t="s">
        <v>140</v>
      </c>
      <c r="C60" s="635" t="s">
        <v>101</v>
      </c>
      <c r="D60" s="639">
        <v>20</v>
      </c>
      <c r="E60" s="40">
        <f t="shared" si="2"/>
        <v>0.02</v>
      </c>
      <c r="F60" s="41">
        <f t="shared" si="3"/>
        <v>19.600000000000001</v>
      </c>
      <c r="G60" s="50"/>
      <c r="H60" s="51"/>
      <c r="I60" s="52"/>
      <c r="J60" s="52"/>
      <c r="K60" s="95" t="s">
        <v>51</v>
      </c>
      <c r="L60" s="62" t="s">
        <v>141</v>
      </c>
      <c r="M60" s="96">
        <v>2.5000000000000001E-2</v>
      </c>
      <c r="N60" s="413">
        <v>22.609000000000002</v>
      </c>
    </row>
    <row r="61" spans="1:14" s="35" customFormat="1" ht="15.75" customHeight="1" thickBot="1" x14ac:dyDescent="0.25">
      <c r="A61" s="94">
        <f t="shared" si="4"/>
        <v>21</v>
      </c>
      <c r="B61" s="46" t="s">
        <v>142</v>
      </c>
      <c r="C61" s="635" t="s">
        <v>101</v>
      </c>
      <c r="D61" s="639">
        <v>60</v>
      </c>
      <c r="E61" s="40">
        <f t="shared" si="2"/>
        <v>0.06</v>
      </c>
      <c r="F61" s="41">
        <f t="shared" si="3"/>
        <v>58.8</v>
      </c>
      <c r="G61" s="50"/>
      <c r="H61" s="51"/>
      <c r="I61" s="52"/>
      <c r="J61" s="52"/>
      <c r="K61" s="95" t="s">
        <v>51</v>
      </c>
      <c r="L61" s="62" t="s">
        <v>143</v>
      </c>
      <c r="M61" s="98">
        <v>3.1E-2</v>
      </c>
      <c r="N61" s="413">
        <v>6.2050000000000001</v>
      </c>
    </row>
    <row r="62" spans="1:14" s="90" customFormat="1" ht="17.100000000000001" customHeight="1" thickBot="1" x14ac:dyDescent="0.25">
      <c r="A62" s="99"/>
      <c r="B62" s="100" t="s">
        <v>146</v>
      </c>
      <c r="C62" s="636"/>
      <c r="D62" s="640">
        <f>SUM(D41:D61)</f>
        <v>800</v>
      </c>
      <c r="E62" s="638">
        <f>SUM(E41:E61)</f>
        <v>0.8</v>
      </c>
      <c r="F62" s="101">
        <f>SUM(F41:F61)</f>
        <v>784.00000000000011</v>
      </c>
      <c r="G62" s="102">
        <f>SUM(G41:G61)</f>
        <v>0</v>
      </c>
      <c r="H62" s="103">
        <v>0</v>
      </c>
      <c r="I62" s="104"/>
      <c r="J62" s="104"/>
      <c r="K62" s="105"/>
      <c r="L62" s="106"/>
      <c r="M62" s="107">
        <f>SUM(M41:M61)</f>
        <v>0.94300000000000017</v>
      </c>
      <c r="N62" s="108">
        <f>SUM(N41:N61)</f>
        <v>527.19730000000004</v>
      </c>
    </row>
    <row r="63" spans="1:14" s="90" customFormat="1" ht="17.100000000000001" customHeight="1" thickBot="1" x14ac:dyDescent="0.3">
      <c r="A63" s="109"/>
      <c r="B63" s="421" t="s">
        <v>147</v>
      </c>
      <c r="C63" s="637"/>
      <c r="D63" s="641">
        <f>D62+D39</f>
        <v>2031</v>
      </c>
      <c r="E63" s="84">
        <f>E62+E39</f>
        <v>2.0310000000000006</v>
      </c>
      <c r="F63" s="92">
        <f>F62+F39</f>
        <v>1614.3399999999997</v>
      </c>
      <c r="G63" s="84">
        <f>G62+G39</f>
        <v>0</v>
      </c>
      <c r="H63" s="85">
        <v>0</v>
      </c>
      <c r="I63" s="86"/>
      <c r="J63" s="86"/>
      <c r="K63" s="110"/>
      <c r="L63" s="111"/>
      <c r="M63" s="112">
        <f>M39+M62</f>
        <v>2.7990000000000004</v>
      </c>
      <c r="N63" s="113">
        <f>N39+N62</f>
        <v>962.58799999999997</v>
      </c>
    </row>
    <row r="64" spans="1:14" s="90" customFormat="1" ht="16.5" thickBot="1" x14ac:dyDescent="0.3">
      <c r="B64" s="118" t="s">
        <v>551</v>
      </c>
      <c r="C64" s="117"/>
      <c r="D64" s="117"/>
      <c r="E64" s="117"/>
      <c r="F64" s="117"/>
      <c r="G64" s="117"/>
      <c r="H64" s="117"/>
      <c r="I64" s="117"/>
      <c r="J64" s="117"/>
      <c r="K64" s="117"/>
      <c r="M64" s="115"/>
      <c r="N64" s="115"/>
    </row>
    <row r="65" spans="1:14" s="90" customFormat="1" ht="13.5" thickBot="1" x14ac:dyDescent="0.25">
      <c r="A65" s="109"/>
      <c r="B65" s="119" t="s">
        <v>20</v>
      </c>
      <c r="C65" s="120"/>
      <c r="D65" s="121"/>
      <c r="E65" s="121"/>
      <c r="F65" s="121"/>
      <c r="G65" s="121"/>
      <c r="H65" s="121"/>
      <c r="I65" s="121"/>
      <c r="J65" s="121"/>
      <c r="K65" s="121"/>
      <c r="L65" s="121"/>
      <c r="M65" s="122"/>
      <c r="N65" s="626"/>
    </row>
    <row r="66" spans="1:14" s="90" customFormat="1" x14ac:dyDescent="0.2">
      <c r="A66" s="123"/>
      <c r="B66" s="24" t="s">
        <v>148</v>
      </c>
      <c r="C66" s="642" t="s">
        <v>20</v>
      </c>
      <c r="D66" s="651"/>
      <c r="E66" s="125"/>
      <c r="F66" s="25"/>
      <c r="G66" s="650"/>
      <c r="H66" s="125"/>
      <c r="I66" s="125"/>
      <c r="J66" s="125"/>
      <c r="K66" s="125"/>
      <c r="L66" s="125"/>
      <c r="M66" s="126">
        <v>3.7999999999999999E-2</v>
      </c>
      <c r="N66" s="627">
        <v>7.3170000000000002</v>
      </c>
    </row>
    <row r="67" spans="1:14" s="114" customFormat="1" ht="13.5" customHeight="1" x14ac:dyDescent="0.2">
      <c r="A67" s="127"/>
      <c r="B67" s="128" t="s">
        <v>149</v>
      </c>
      <c r="C67" s="643" t="s">
        <v>20</v>
      </c>
      <c r="D67" s="533"/>
      <c r="E67" s="130"/>
      <c r="F67" s="652"/>
      <c r="G67" s="129"/>
      <c r="H67" s="130"/>
      <c r="I67" s="130"/>
      <c r="J67" s="130"/>
      <c r="K67" s="130"/>
      <c r="L67" s="130"/>
      <c r="M67" s="131">
        <v>2E-3</v>
      </c>
      <c r="N67" s="628">
        <v>6.1899999999999997E-2</v>
      </c>
    </row>
    <row r="68" spans="1:14" s="114" customFormat="1" ht="12.75" customHeight="1" x14ac:dyDescent="0.2">
      <c r="A68" s="132"/>
      <c r="B68" s="133" t="s">
        <v>150</v>
      </c>
      <c r="C68" s="644" t="s">
        <v>20</v>
      </c>
      <c r="D68" s="140"/>
      <c r="E68" s="135"/>
      <c r="F68" s="653"/>
      <c r="G68" s="134"/>
      <c r="H68" s="135"/>
      <c r="I68" s="135"/>
      <c r="J68" s="135"/>
      <c r="K68" s="135"/>
      <c r="L68" s="135"/>
      <c r="M68" s="136">
        <v>0.107</v>
      </c>
      <c r="N68" s="629">
        <v>22.370999999999999</v>
      </c>
    </row>
    <row r="69" spans="1:14" s="114" customFormat="1" ht="12.75" customHeight="1" x14ac:dyDescent="0.2">
      <c r="A69" s="132"/>
      <c r="B69" s="133" t="s">
        <v>102</v>
      </c>
      <c r="C69" s="644" t="s">
        <v>20</v>
      </c>
      <c r="D69" s="140"/>
      <c r="E69" s="135"/>
      <c r="F69" s="653"/>
      <c r="G69" s="134"/>
      <c r="H69" s="135"/>
      <c r="I69" s="135"/>
      <c r="J69" s="135"/>
      <c r="K69" s="135"/>
      <c r="L69" s="135"/>
      <c r="M69" s="136">
        <v>1.6E-2</v>
      </c>
      <c r="N69" s="629">
        <v>2.8180000000000001</v>
      </c>
    </row>
    <row r="70" spans="1:14" s="114" customFormat="1" x14ac:dyDescent="0.2">
      <c r="A70" s="132"/>
      <c r="B70" s="133" t="s">
        <v>151</v>
      </c>
      <c r="C70" s="644" t="s">
        <v>20</v>
      </c>
      <c r="D70" s="140"/>
      <c r="E70" s="135"/>
      <c r="F70" s="653"/>
      <c r="G70" s="134"/>
      <c r="H70" s="135"/>
      <c r="I70" s="135"/>
      <c r="J70" s="135"/>
      <c r="K70" s="135"/>
      <c r="L70" s="135"/>
      <c r="M70" s="137">
        <v>0.04</v>
      </c>
      <c r="N70" s="629">
        <v>0.84019999999999995</v>
      </c>
    </row>
    <row r="71" spans="1:14" s="114" customFormat="1" x14ac:dyDescent="0.2">
      <c r="A71" s="132"/>
      <c r="B71" s="133" t="s">
        <v>104</v>
      </c>
      <c r="C71" s="644" t="s">
        <v>20</v>
      </c>
      <c r="D71" s="140"/>
      <c r="E71" s="135"/>
      <c r="F71" s="653"/>
      <c r="G71" s="134"/>
      <c r="H71" s="135"/>
      <c r="I71" s="135"/>
      <c r="J71" s="135"/>
      <c r="K71" s="135"/>
      <c r="L71" s="135"/>
      <c r="M71" s="137">
        <v>2.8000000000000001E-2</v>
      </c>
      <c r="N71" s="629">
        <v>4.6079999999999997</v>
      </c>
    </row>
    <row r="72" spans="1:14" s="114" customFormat="1" x14ac:dyDescent="0.2">
      <c r="A72" s="132"/>
      <c r="B72" s="133" t="s">
        <v>152</v>
      </c>
      <c r="C72" s="644" t="s">
        <v>20</v>
      </c>
      <c r="D72" s="140"/>
      <c r="E72" s="135"/>
      <c r="F72" s="653"/>
      <c r="G72" s="134"/>
      <c r="H72" s="135"/>
      <c r="I72" s="135">
        <v>10</v>
      </c>
      <c r="J72" s="135" t="s">
        <v>153</v>
      </c>
      <c r="K72" s="135"/>
      <c r="L72" s="135"/>
      <c r="M72" s="137">
        <v>0.02</v>
      </c>
      <c r="N72" s="629">
        <v>4.6619999999999999</v>
      </c>
    </row>
    <row r="73" spans="1:14" s="114" customFormat="1" x14ac:dyDescent="0.2">
      <c r="A73" s="132"/>
      <c r="B73" s="133" t="s">
        <v>154</v>
      </c>
      <c r="C73" s="644" t="s">
        <v>20</v>
      </c>
      <c r="D73" s="140"/>
      <c r="E73" s="135"/>
      <c r="F73" s="653"/>
      <c r="G73" s="134"/>
      <c r="H73" s="135"/>
      <c r="I73" s="135"/>
      <c r="J73" s="135"/>
      <c r="K73" s="135"/>
      <c r="L73" s="135"/>
      <c r="M73" s="137">
        <v>2.5999999999999999E-2</v>
      </c>
      <c r="N73" s="629">
        <v>7.5780000000000003</v>
      </c>
    </row>
    <row r="74" spans="1:14" s="114" customFormat="1" x14ac:dyDescent="0.2">
      <c r="A74" s="132"/>
      <c r="B74" s="133" t="s">
        <v>105</v>
      </c>
      <c r="C74" s="644" t="s">
        <v>20</v>
      </c>
      <c r="D74" s="140"/>
      <c r="E74" s="135"/>
      <c r="F74" s="653"/>
      <c r="G74" s="134"/>
      <c r="H74" s="135"/>
      <c r="I74" s="135"/>
      <c r="J74" s="135"/>
      <c r="K74" s="135"/>
      <c r="L74" s="135"/>
      <c r="M74" s="137">
        <v>2.5000000000000001E-2</v>
      </c>
      <c r="N74" s="629">
        <v>4.819</v>
      </c>
    </row>
    <row r="75" spans="1:14" s="114" customFormat="1" x14ac:dyDescent="0.2">
      <c r="A75" s="132"/>
      <c r="B75" s="133" t="s">
        <v>155</v>
      </c>
      <c r="C75" s="644" t="s">
        <v>20</v>
      </c>
      <c r="D75" s="140"/>
      <c r="E75" s="135"/>
      <c r="F75" s="653"/>
      <c r="G75" s="134"/>
      <c r="H75" s="135"/>
      <c r="I75" s="135"/>
      <c r="J75" s="135"/>
      <c r="K75" s="135"/>
      <c r="L75" s="135"/>
      <c r="M75" s="136">
        <v>1.2E-2</v>
      </c>
      <c r="N75" s="629">
        <v>3.4980000000000002</v>
      </c>
    </row>
    <row r="76" spans="1:14" s="114" customFormat="1" x14ac:dyDescent="0.2">
      <c r="A76" s="132"/>
      <c r="B76" s="133" t="s">
        <v>156</v>
      </c>
      <c r="C76" s="644" t="s">
        <v>20</v>
      </c>
      <c r="D76" s="140"/>
      <c r="E76" s="135"/>
      <c r="F76" s="653"/>
      <c r="G76" s="134"/>
      <c r="H76" s="135"/>
      <c r="I76" s="135"/>
      <c r="J76" s="135"/>
      <c r="K76" s="135"/>
      <c r="L76" s="135"/>
      <c r="M76" s="136">
        <v>2.1000000000000001E-2</v>
      </c>
      <c r="N76" s="629">
        <v>4.048</v>
      </c>
    </row>
    <row r="77" spans="1:14" s="114" customFormat="1" x14ac:dyDescent="0.2">
      <c r="A77" s="132"/>
      <c r="B77" s="133" t="s">
        <v>157</v>
      </c>
      <c r="C77" s="644" t="s">
        <v>20</v>
      </c>
      <c r="D77" s="140"/>
      <c r="E77" s="135"/>
      <c r="F77" s="653"/>
      <c r="G77" s="134"/>
      <c r="H77" s="135"/>
      <c r="I77" s="135">
        <v>20</v>
      </c>
      <c r="J77" s="138" t="s">
        <v>28</v>
      </c>
      <c r="K77" s="135"/>
      <c r="L77" s="135"/>
      <c r="M77" s="136">
        <v>6.5000000000000002E-2</v>
      </c>
      <c r="N77" s="629">
        <v>8.3036999999999992</v>
      </c>
    </row>
    <row r="78" spans="1:14" s="114" customFormat="1" x14ac:dyDescent="0.2">
      <c r="A78" s="132"/>
      <c r="B78" s="133" t="s">
        <v>158</v>
      </c>
      <c r="C78" s="644" t="s">
        <v>20</v>
      </c>
      <c r="D78" s="140"/>
      <c r="E78" s="135"/>
      <c r="F78" s="653"/>
      <c r="G78" s="134"/>
      <c r="H78" s="135"/>
      <c r="I78" s="135"/>
      <c r="J78" s="135"/>
      <c r="K78" s="135"/>
      <c r="L78" s="135"/>
      <c r="M78" s="136">
        <v>0.11600000000000001</v>
      </c>
      <c r="N78" s="629">
        <v>12.385</v>
      </c>
    </row>
    <row r="79" spans="1:14" s="114" customFormat="1" x14ac:dyDescent="0.2">
      <c r="A79" s="132"/>
      <c r="B79" s="133" t="s">
        <v>159</v>
      </c>
      <c r="C79" s="644" t="s">
        <v>20</v>
      </c>
      <c r="D79" s="140"/>
      <c r="E79" s="135"/>
      <c r="F79" s="653"/>
      <c r="G79" s="134"/>
      <c r="H79" s="135"/>
      <c r="I79" s="135"/>
      <c r="J79" s="135"/>
      <c r="K79" s="135"/>
      <c r="L79" s="135"/>
      <c r="M79" s="137">
        <v>0.24</v>
      </c>
      <c r="N79" s="629">
        <v>46.264000000000003</v>
      </c>
    </row>
    <row r="80" spans="1:14" s="114" customFormat="1" x14ac:dyDescent="0.2">
      <c r="A80" s="132"/>
      <c r="B80" s="133" t="s">
        <v>160</v>
      </c>
      <c r="C80" s="644" t="s">
        <v>20</v>
      </c>
      <c r="D80" s="140"/>
      <c r="E80" s="135"/>
      <c r="F80" s="653"/>
      <c r="G80" s="134"/>
      <c r="H80" s="135"/>
      <c r="I80" s="135">
        <v>10</v>
      </c>
      <c r="J80" s="135" t="s">
        <v>43</v>
      </c>
      <c r="K80" s="135"/>
      <c r="L80" s="135"/>
      <c r="M80" s="137">
        <v>0.04</v>
      </c>
      <c r="N80" s="629">
        <v>6.5819999999999999</v>
      </c>
    </row>
    <row r="81" spans="1:14" s="114" customFormat="1" x14ac:dyDescent="0.2">
      <c r="A81" s="132"/>
      <c r="B81" s="133" t="s">
        <v>161</v>
      </c>
      <c r="C81" s="644" t="s">
        <v>20</v>
      </c>
      <c r="D81" s="140"/>
      <c r="E81" s="135"/>
      <c r="F81" s="653"/>
      <c r="G81" s="134"/>
      <c r="H81" s="135"/>
      <c r="I81" s="135"/>
      <c r="J81" s="135"/>
      <c r="K81" s="135"/>
      <c r="L81" s="135"/>
      <c r="M81" s="137">
        <v>0.11</v>
      </c>
      <c r="N81" s="629">
        <v>21.204000000000001</v>
      </c>
    </row>
    <row r="82" spans="1:14" s="114" customFormat="1" x14ac:dyDescent="0.2">
      <c r="A82" s="132"/>
      <c r="B82" s="133" t="s">
        <v>162</v>
      </c>
      <c r="C82" s="644" t="s">
        <v>20</v>
      </c>
      <c r="D82" s="140"/>
      <c r="E82" s="135"/>
      <c r="F82" s="653"/>
      <c r="G82" s="134"/>
      <c r="H82" s="135"/>
      <c r="I82" s="135"/>
      <c r="J82" s="135"/>
      <c r="K82" s="135"/>
      <c r="L82" s="135"/>
      <c r="M82" s="137">
        <v>3.1E-2</v>
      </c>
      <c r="N82" s="629">
        <v>2.4569999999999999</v>
      </c>
    </row>
    <row r="83" spans="1:14" s="114" customFormat="1" x14ac:dyDescent="0.2">
      <c r="A83" s="132"/>
      <c r="B83" s="133" t="s">
        <v>163</v>
      </c>
      <c r="C83" s="644" t="s">
        <v>20</v>
      </c>
      <c r="D83" s="140"/>
      <c r="E83" s="135"/>
      <c r="F83" s="653"/>
      <c r="G83" s="134"/>
      <c r="H83" s="135"/>
      <c r="I83" s="135"/>
      <c r="J83" s="135"/>
      <c r="K83" s="135"/>
      <c r="L83" s="135"/>
      <c r="M83" s="137">
        <v>0.12</v>
      </c>
      <c r="N83" s="629">
        <v>19.747</v>
      </c>
    </row>
    <row r="84" spans="1:14" s="114" customFormat="1" ht="14.25" customHeight="1" x14ac:dyDescent="0.2">
      <c r="A84" s="132"/>
      <c r="B84" s="139" t="s">
        <v>164</v>
      </c>
      <c r="C84" s="644" t="s">
        <v>20</v>
      </c>
      <c r="D84" s="140"/>
      <c r="E84" s="135"/>
      <c r="F84" s="653"/>
      <c r="G84" s="134"/>
      <c r="H84" s="135"/>
      <c r="I84" s="135"/>
      <c r="J84" s="135"/>
      <c r="K84" s="135"/>
      <c r="L84" s="135"/>
      <c r="M84" s="137">
        <v>0.2</v>
      </c>
      <c r="N84" s="629">
        <v>35.7712</v>
      </c>
    </row>
    <row r="85" spans="1:14" s="114" customFormat="1" ht="14.25" customHeight="1" x14ac:dyDescent="0.2">
      <c r="A85" s="132"/>
      <c r="B85" s="139" t="s">
        <v>165</v>
      </c>
      <c r="C85" s="644" t="s">
        <v>20</v>
      </c>
      <c r="D85" s="140"/>
      <c r="E85" s="135"/>
      <c r="F85" s="653"/>
      <c r="G85" s="134"/>
      <c r="H85" s="135"/>
      <c r="I85" s="135"/>
      <c r="J85" s="135"/>
      <c r="K85" s="135"/>
      <c r="L85" s="135"/>
      <c r="M85" s="137">
        <v>0.11</v>
      </c>
      <c r="N85" s="629">
        <v>18.100999999999999</v>
      </c>
    </row>
    <row r="86" spans="1:14" s="114" customFormat="1" ht="12.75" customHeight="1" x14ac:dyDescent="0.2">
      <c r="A86" s="132"/>
      <c r="B86" s="140" t="s">
        <v>166</v>
      </c>
      <c r="C86" s="644" t="s">
        <v>20</v>
      </c>
      <c r="D86" s="140"/>
      <c r="E86" s="135"/>
      <c r="F86" s="653"/>
      <c r="G86" s="134"/>
      <c r="H86" s="135"/>
      <c r="I86" s="135"/>
      <c r="J86" s="135"/>
      <c r="K86" s="135"/>
      <c r="L86" s="135"/>
      <c r="M86" s="136">
        <f>0.06+0.085</f>
        <v>0.14500000000000002</v>
      </c>
      <c r="N86" s="629">
        <f>7.6649+15.2028</f>
        <v>22.867699999999999</v>
      </c>
    </row>
    <row r="87" spans="1:14" s="114" customFormat="1" ht="12.75" customHeight="1" x14ac:dyDescent="0.2">
      <c r="A87" s="132"/>
      <c r="B87" s="132" t="s">
        <v>167</v>
      </c>
      <c r="C87" s="644" t="s">
        <v>20</v>
      </c>
      <c r="D87" s="140"/>
      <c r="E87" s="135"/>
      <c r="F87" s="653"/>
      <c r="G87" s="134"/>
      <c r="H87" s="135"/>
      <c r="I87" s="135"/>
      <c r="J87" s="135"/>
      <c r="K87" s="135"/>
      <c r="L87" s="135"/>
      <c r="M87" s="137">
        <v>0.02</v>
      </c>
      <c r="N87" s="629">
        <v>3.855</v>
      </c>
    </row>
    <row r="88" spans="1:14" s="114" customFormat="1" ht="12.75" customHeight="1" x14ac:dyDescent="0.2">
      <c r="A88" s="132"/>
      <c r="B88" s="133" t="s">
        <v>168</v>
      </c>
      <c r="C88" s="644" t="s">
        <v>20</v>
      </c>
      <c r="D88" s="140"/>
      <c r="E88" s="135"/>
      <c r="F88" s="653"/>
      <c r="G88" s="134"/>
      <c r="H88" s="135"/>
      <c r="I88" s="135"/>
      <c r="J88" s="135"/>
      <c r="K88" s="135"/>
      <c r="L88" s="135"/>
      <c r="M88" s="136">
        <f>0.025+0.018</f>
        <v>4.2999999999999997E-2</v>
      </c>
      <c r="N88" s="629">
        <f>4.636+5.247</f>
        <v>9.8829999999999991</v>
      </c>
    </row>
    <row r="89" spans="1:14" s="114" customFormat="1" x14ac:dyDescent="0.2">
      <c r="A89" s="132"/>
      <c r="B89" s="133" t="s">
        <v>170</v>
      </c>
      <c r="C89" s="644" t="s">
        <v>20</v>
      </c>
      <c r="D89" s="140"/>
      <c r="E89" s="135"/>
      <c r="F89" s="653"/>
      <c r="G89" s="134"/>
      <c r="H89" s="135"/>
      <c r="I89" s="135"/>
      <c r="J89" s="135"/>
      <c r="K89" s="135"/>
      <c r="L89" s="135"/>
      <c r="M89" s="137">
        <v>0.18</v>
      </c>
      <c r="N89" s="629">
        <v>29.905999999999999</v>
      </c>
    </row>
    <row r="90" spans="1:14" s="114" customFormat="1" x14ac:dyDescent="0.2">
      <c r="A90" s="132"/>
      <c r="B90" s="133" t="s">
        <v>171</v>
      </c>
      <c r="C90" s="644" t="s">
        <v>20</v>
      </c>
      <c r="D90" s="140"/>
      <c r="E90" s="135"/>
      <c r="F90" s="653"/>
      <c r="G90" s="134"/>
      <c r="H90" s="135"/>
      <c r="I90" s="135"/>
      <c r="J90" s="135"/>
      <c r="K90" s="135"/>
      <c r="L90" s="135"/>
      <c r="M90" s="137">
        <v>5.0000000000000001E-3</v>
      </c>
      <c r="N90" s="629">
        <v>0.39600000000000002</v>
      </c>
    </row>
    <row r="91" spans="1:14" s="114" customFormat="1" x14ac:dyDescent="0.2">
      <c r="A91" s="132"/>
      <c r="B91" s="139" t="s">
        <v>172</v>
      </c>
      <c r="C91" s="644" t="s">
        <v>20</v>
      </c>
      <c r="D91" s="140"/>
      <c r="E91" s="135"/>
      <c r="F91" s="653"/>
      <c r="G91" s="134"/>
      <c r="H91" s="135"/>
      <c r="I91" s="135"/>
      <c r="J91" s="135"/>
      <c r="K91" s="135"/>
      <c r="L91" s="135"/>
      <c r="M91" s="137">
        <f>0.042</f>
        <v>4.2000000000000003E-2</v>
      </c>
      <c r="N91" s="629">
        <v>8.2490000000000006</v>
      </c>
    </row>
    <row r="92" spans="1:14" s="114" customFormat="1" x14ac:dyDescent="0.2">
      <c r="A92" s="132"/>
      <c r="B92" s="139" t="s">
        <v>173</v>
      </c>
      <c r="C92" s="644" t="s">
        <v>20</v>
      </c>
      <c r="D92" s="140"/>
      <c r="E92" s="135"/>
      <c r="F92" s="653"/>
      <c r="G92" s="134"/>
      <c r="H92" s="135"/>
      <c r="I92" s="135"/>
      <c r="J92" s="135"/>
      <c r="K92" s="135"/>
      <c r="L92" s="135"/>
      <c r="M92" s="137">
        <v>3.5000000000000003E-2</v>
      </c>
      <c r="N92" s="629">
        <v>6.7469999999999999</v>
      </c>
    </row>
    <row r="93" spans="1:14" s="114" customFormat="1" x14ac:dyDescent="0.2">
      <c r="A93" s="132"/>
      <c r="B93" s="139" t="s">
        <v>114</v>
      </c>
      <c r="C93" s="644" t="s">
        <v>20</v>
      </c>
      <c r="D93" s="140"/>
      <c r="E93" s="135"/>
      <c r="F93" s="653"/>
      <c r="G93" s="134"/>
      <c r="H93" s="135"/>
      <c r="I93" s="135"/>
      <c r="J93" s="135"/>
      <c r="K93" s="135"/>
      <c r="L93" s="135"/>
      <c r="M93" s="137">
        <v>1.4E-2</v>
      </c>
      <c r="N93" s="629">
        <v>3.488</v>
      </c>
    </row>
    <row r="94" spans="1:14" s="114" customFormat="1" x14ac:dyDescent="0.2">
      <c r="A94" s="132"/>
      <c r="B94" s="139" t="s">
        <v>119</v>
      </c>
      <c r="C94" s="644" t="s">
        <v>20</v>
      </c>
      <c r="D94" s="140"/>
      <c r="E94" s="135"/>
      <c r="F94" s="653"/>
      <c r="G94" s="134"/>
      <c r="H94" s="135"/>
      <c r="I94" s="135"/>
      <c r="J94" s="135"/>
      <c r="K94" s="135"/>
      <c r="L94" s="135"/>
      <c r="M94" s="136">
        <v>1.0999999999999999E-2</v>
      </c>
      <c r="N94" s="629">
        <v>2.827</v>
      </c>
    </row>
    <row r="95" spans="1:14" s="114" customFormat="1" x14ac:dyDescent="0.2">
      <c r="A95" s="132"/>
      <c r="B95" s="139" t="s">
        <v>174</v>
      </c>
      <c r="C95" s="644" t="s">
        <v>20</v>
      </c>
      <c r="D95" s="140"/>
      <c r="E95" s="135"/>
      <c r="F95" s="653"/>
      <c r="G95" s="134"/>
      <c r="H95" s="135"/>
      <c r="I95" s="135"/>
      <c r="J95" s="135"/>
      <c r="K95" s="135"/>
      <c r="L95" s="135"/>
      <c r="M95" s="137">
        <v>0.06</v>
      </c>
      <c r="N95" s="629">
        <v>13.356999999999999</v>
      </c>
    </row>
    <row r="96" spans="1:14" s="114" customFormat="1" x14ac:dyDescent="0.2">
      <c r="A96" s="132"/>
      <c r="B96" s="139" t="s">
        <v>175</v>
      </c>
      <c r="C96" s="644" t="s">
        <v>20</v>
      </c>
      <c r="D96" s="140"/>
      <c r="E96" s="135"/>
      <c r="F96" s="653"/>
      <c r="G96" s="134"/>
      <c r="H96" s="135"/>
      <c r="I96" s="135"/>
      <c r="J96" s="135"/>
      <c r="K96" s="135"/>
      <c r="L96" s="135"/>
      <c r="M96" s="136">
        <v>4.2000000000000003E-2</v>
      </c>
      <c r="N96" s="629">
        <v>6.6660000000000004</v>
      </c>
    </row>
    <row r="97" spans="1:14" s="114" customFormat="1" x14ac:dyDescent="0.2">
      <c r="A97" s="132"/>
      <c r="B97" s="133" t="s">
        <v>176</v>
      </c>
      <c r="C97" s="644" t="s">
        <v>20</v>
      </c>
      <c r="D97" s="140"/>
      <c r="E97" s="135"/>
      <c r="F97" s="653"/>
      <c r="G97" s="134"/>
      <c r="H97" s="135"/>
      <c r="I97" s="135"/>
      <c r="J97" s="135"/>
      <c r="K97" s="135"/>
      <c r="L97" s="135"/>
      <c r="M97" s="136">
        <f>0.008+0.02+0.023</f>
        <v>5.1000000000000004E-2</v>
      </c>
      <c r="N97" s="629">
        <v>9.9600000000000009</v>
      </c>
    </row>
    <row r="98" spans="1:14" s="114" customFormat="1" x14ac:dyDescent="0.2">
      <c r="A98" s="132"/>
      <c r="B98" s="133" t="s">
        <v>123</v>
      </c>
      <c r="C98" s="644" t="s">
        <v>20</v>
      </c>
      <c r="D98" s="140"/>
      <c r="E98" s="135"/>
      <c r="F98" s="653"/>
      <c r="G98" s="134"/>
      <c r="H98" s="135"/>
      <c r="I98" s="135"/>
      <c r="J98" s="135"/>
      <c r="K98" s="135"/>
      <c r="L98" s="135"/>
      <c r="M98" s="136">
        <v>6.0000000000000001E-3</v>
      </c>
      <c r="N98" s="629">
        <v>2.794</v>
      </c>
    </row>
    <row r="99" spans="1:14" s="114" customFormat="1" x14ac:dyDescent="0.2">
      <c r="A99" s="132"/>
      <c r="B99" s="133" t="s">
        <v>126</v>
      </c>
      <c r="C99" s="644" t="s">
        <v>20</v>
      </c>
      <c r="D99" s="140"/>
      <c r="E99" s="135"/>
      <c r="F99" s="653"/>
      <c r="G99" s="134"/>
      <c r="H99" s="135"/>
      <c r="I99" s="135"/>
      <c r="J99" s="135"/>
      <c r="K99" s="135"/>
      <c r="L99" s="135"/>
      <c r="M99" s="136">
        <v>1.2E-2</v>
      </c>
      <c r="N99" s="629">
        <v>2.3130000000000002</v>
      </c>
    </row>
    <row r="100" spans="1:14" s="114" customFormat="1" x14ac:dyDescent="0.2">
      <c r="A100" s="132"/>
      <c r="B100" s="133" t="s">
        <v>177</v>
      </c>
      <c r="C100" s="644" t="s">
        <v>20</v>
      </c>
      <c r="D100" s="140"/>
      <c r="E100" s="135"/>
      <c r="F100" s="653"/>
      <c r="G100" s="134"/>
      <c r="H100" s="135"/>
      <c r="I100" s="135"/>
      <c r="J100" s="135"/>
      <c r="K100" s="135"/>
      <c r="L100" s="135"/>
      <c r="M100" s="136">
        <v>4.3999999999999997E-2</v>
      </c>
      <c r="N100" s="629">
        <v>9.0549999999999997</v>
      </c>
    </row>
    <row r="101" spans="1:14" s="114" customFormat="1" x14ac:dyDescent="0.2">
      <c r="A101" s="132"/>
      <c r="B101" s="133" t="s">
        <v>178</v>
      </c>
      <c r="C101" s="644" t="s">
        <v>20</v>
      </c>
      <c r="D101" s="140"/>
      <c r="E101" s="135"/>
      <c r="F101" s="653"/>
      <c r="G101" s="134"/>
      <c r="H101" s="135"/>
      <c r="I101" s="135"/>
      <c r="J101" s="135"/>
      <c r="K101" s="135"/>
      <c r="L101" s="135"/>
      <c r="M101" s="137">
        <v>0.08</v>
      </c>
      <c r="N101" s="629">
        <v>10.219900000000001</v>
      </c>
    </row>
    <row r="102" spans="1:14" s="114" customFormat="1" x14ac:dyDescent="0.2">
      <c r="A102" s="132"/>
      <c r="B102" s="133" t="s">
        <v>179</v>
      </c>
      <c r="C102" s="644" t="s">
        <v>20</v>
      </c>
      <c r="D102" s="140"/>
      <c r="E102" s="135"/>
      <c r="F102" s="653"/>
      <c r="G102" s="134"/>
      <c r="H102" s="135"/>
      <c r="I102" s="135"/>
      <c r="J102" s="135"/>
      <c r="K102" s="135"/>
      <c r="L102" s="135"/>
      <c r="M102" s="137">
        <v>2.4E-2</v>
      </c>
      <c r="N102" s="629">
        <v>6.9950000000000001</v>
      </c>
    </row>
    <row r="103" spans="1:14" s="114" customFormat="1" x14ac:dyDescent="0.2">
      <c r="A103" s="132"/>
      <c r="B103" s="133" t="s">
        <v>180</v>
      </c>
      <c r="C103" s="644" t="s">
        <v>20</v>
      </c>
      <c r="D103" s="140"/>
      <c r="E103" s="135"/>
      <c r="F103" s="653"/>
      <c r="G103" s="134"/>
      <c r="H103" s="135"/>
      <c r="I103" s="135"/>
      <c r="J103" s="135"/>
      <c r="K103" s="135"/>
      <c r="L103" s="135"/>
      <c r="M103" s="137">
        <v>0.04</v>
      </c>
      <c r="N103" s="629">
        <v>10.672000000000001</v>
      </c>
    </row>
    <row r="104" spans="1:14" s="114" customFormat="1" x14ac:dyDescent="0.2">
      <c r="A104" s="132"/>
      <c r="B104" s="133" t="s">
        <v>181</v>
      </c>
      <c r="C104" s="644" t="s">
        <v>20</v>
      </c>
      <c r="D104" s="140"/>
      <c r="E104" s="135"/>
      <c r="F104" s="653"/>
      <c r="G104" s="134"/>
      <c r="H104" s="135"/>
      <c r="I104" s="135"/>
      <c r="J104" s="135"/>
      <c r="K104" s="135"/>
      <c r="L104" s="135"/>
      <c r="M104" s="137">
        <v>0.15</v>
      </c>
      <c r="N104" s="629">
        <v>30.196999999999999</v>
      </c>
    </row>
    <row r="105" spans="1:14" s="114" customFormat="1" x14ac:dyDescent="0.2">
      <c r="A105" s="132"/>
      <c r="B105" s="133" t="s">
        <v>182</v>
      </c>
      <c r="C105" s="644" t="s">
        <v>20</v>
      </c>
      <c r="D105" s="140"/>
      <c r="E105" s="135"/>
      <c r="F105" s="653"/>
      <c r="G105" s="134"/>
      <c r="H105" s="135"/>
      <c r="I105" s="135"/>
      <c r="J105" s="135"/>
      <c r="K105" s="135"/>
      <c r="L105" s="135"/>
      <c r="M105" s="137">
        <v>6.0000000000000001E-3</v>
      </c>
      <c r="N105" s="629">
        <v>1.157</v>
      </c>
    </row>
    <row r="106" spans="1:14" s="114" customFormat="1" x14ac:dyDescent="0.2">
      <c r="A106" s="132"/>
      <c r="B106" s="133" t="s">
        <v>183</v>
      </c>
      <c r="C106" s="644" t="s">
        <v>20</v>
      </c>
      <c r="D106" s="140"/>
      <c r="E106" s="135"/>
      <c r="F106" s="653"/>
      <c r="G106" s="134"/>
      <c r="H106" s="135"/>
      <c r="I106" s="135"/>
      <c r="J106" s="135"/>
      <c r="K106" s="135"/>
      <c r="L106" s="135"/>
      <c r="M106" s="137">
        <v>1E-3</v>
      </c>
      <c r="N106" s="629">
        <v>9.5000000000000001E-2</v>
      </c>
    </row>
    <row r="107" spans="1:14" s="114" customFormat="1" x14ac:dyDescent="0.2">
      <c r="A107" s="132"/>
      <c r="B107" s="133" t="s">
        <v>142</v>
      </c>
      <c r="C107" s="644" t="s">
        <v>20</v>
      </c>
      <c r="D107" s="140"/>
      <c r="E107" s="135"/>
      <c r="F107" s="653"/>
      <c r="G107" s="134"/>
      <c r="H107" s="135"/>
      <c r="I107" s="135"/>
      <c r="J107" s="135"/>
      <c r="K107" s="135"/>
      <c r="L107" s="135"/>
      <c r="M107" s="136">
        <f>0.01+0.01+0.095</f>
        <v>0.115</v>
      </c>
      <c r="N107" s="629">
        <f>4.5489+0.7295+29.399</f>
        <v>34.677399999999999</v>
      </c>
    </row>
    <row r="108" spans="1:14" s="114" customFormat="1" ht="13.5" thickBot="1" x14ac:dyDescent="0.25">
      <c r="A108" s="132"/>
      <c r="B108" s="133" t="s">
        <v>145</v>
      </c>
      <c r="C108" s="644" t="s">
        <v>20</v>
      </c>
      <c r="D108" s="140"/>
      <c r="E108" s="135"/>
      <c r="F108" s="653"/>
      <c r="G108" s="134"/>
      <c r="H108" s="135"/>
      <c r="I108" s="135"/>
      <c r="J108" s="135"/>
      <c r="K108" s="135"/>
      <c r="L108" s="135"/>
      <c r="M108" s="136">
        <v>1.7999999999999999E-2</v>
      </c>
      <c r="N108" s="629">
        <v>1.4259999999999999</v>
      </c>
    </row>
    <row r="109" spans="1:14" s="114" customFormat="1" ht="13.5" thickBot="1" x14ac:dyDescent="0.25">
      <c r="A109" s="142"/>
      <c r="B109" s="143" t="s">
        <v>184</v>
      </c>
      <c r="C109" s="645"/>
      <c r="D109" s="654"/>
      <c r="E109" s="145"/>
      <c r="F109" s="655"/>
      <c r="G109" s="144"/>
      <c r="H109" s="145"/>
      <c r="I109" s="146"/>
      <c r="J109" s="146"/>
      <c r="K109" s="145"/>
      <c r="L109" s="145"/>
      <c r="M109" s="147">
        <f>SUM(M67:M108)</f>
        <v>2.4729999999999994</v>
      </c>
      <c r="N109" s="630">
        <f>SUM(N67:N108)</f>
        <v>453.92199999999997</v>
      </c>
    </row>
    <row r="110" spans="1:14" s="114" customFormat="1" ht="14.25" thickBot="1" x14ac:dyDescent="0.3">
      <c r="A110" s="142"/>
      <c r="B110" s="149" t="s">
        <v>99</v>
      </c>
      <c r="C110" s="645"/>
      <c r="D110" s="654"/>
      <c r="E110" s="145"/>
      <c r="F110" s="655"/>
      <c r="G110" s="144"/>
      <c r="H110" s="145"/>
      <c r="I110" s="146"/>
      <c r="J110" s="146"/>
      <c r="K110" s="145"/>
      <c r="L110" s="145"/>
      <c r="M110" s="150"/>
      <c r="N110" s="631"/>
    </row>
    <row r="111" spans="1:14" s="114" customFormat="1" x14ac:dyDescent="0.2">
      <c r="A111" s="151"/>
      <c r="B111" s="152" t="s">
        <v>149</v>
      </c>
      <c r="C111" s="646" t="s">
        <v>101</v>
      </c>
      <c r="D111" s="656"/>
      <c r="E111" s="154"/>
      <c r="F111" s="124"/>
      <c r="G111" s="153"/>
      <c r="H111" s="154"/>
      <c r="I111" s="155"/>
      <c r="J111" s="155"/>
      <c r="K111" s="154"/>
      <c r="L111" s="154"/>
      <c r="M111" s="156">
        <v>1.4999999999999999E-2</v>
      </c>
      <c r="N111" s="632">
        <v>2.8860000000000001</v>
      </c>
    </row>
    <row r="112" spans="1:14" s="114" customFormat="1" x14ac:dyDescent="0.2">
      <c r="A112" s="132"/>
      <c r="B112" s="133" t="s">
        <v>185</v>
      </c>
      <c r="C112" s="644" t="s">
        <v>101</v>
      </c>
      <c r="D112" s="140"/>
      <c r="E112" s="135"/>
      <c r="F112" s="653"/>
      <c r="G112" s="134"/>
      <c r="H112" s="135"/>
      <c r="I112" s="157"/>
      <c r="J112" s="157"/>
      <c r="K112" s="135"/>
      <c r="L112" s="135"/>
      <c r="M112" s="137">
        <f>0.037</f>
        <v>3.6999999999999998E-2</v>
      </c>
      <c r="N112" s="629">
        <v>31.542999999999999</v>
      </c>
    </row>
    <row r="113" spans="1:14" s="114" customFormat="1" x14ac:dyDescent="0.2">
      <c r="A113" s="132"/>
      <c r="B113" s="133" t="s">
        <v>31</v>
      </c>
      <c r="C113" s="644" t="s">
        <v>101</v>
      </c>
      <c r="D113" s="140"/>
      <c r="E113" s="135"/>
      <c r="F113" s="653"/>
      <c r="G113" s="134"/>
      <c r="H113" s="135"/>
      <c r="I113" s="157"/>
      <c r="J113" s="157"/>
      <c r="K113" s="135"/>
      <c r="L113" s="135"/>
      <c r="M113" s="137">
        <v>4.3999999999999997E-2</v>
      </c>
      <c r="N113" s="629">
        <v>44.585000000000001</v>
      </c>
    </row>
    <row r="114" spans="1:14" s="114" customFormat="1" x14ac:dyDescent="0.2">
      <c r="A114" s="132"/>
      <c r="B114" s="133" t="s">
        <v>186</v>
      </c>
      <c r="C114" s="644" t="s">
        <v>101</v>
      </c>
      <c r="D114" s="140"/>
      <c r="E114" s="135"/>
      <c r="F114" s="653"/>
      <c r="G114" s="134"/>
      <c r="H114" s="135"/>
      <c r="I114" s="157"/>
      <c r="J114" s="157"/>
      <c r="K114" s="135"/>
      <c r="L114" s="135"/>
      <c r="M114" s="137">
        <v>0.04</v>
      </c>
      <c r="N114" s="629">
        <v>7.6970000000000001</v>
      </c>
    </row>
    <row r="115" spans="1:14" s="114" customFormat="1" x14ac:dyDescent="0.2">
      <c r="A115" s="132"/>
      <c r="B115" s="133" t="s">
        <v>187</v>
      </c>
      <c r="C115" s="644" t="s">
        <v>101</v>
      </c>
      <c r="D115" s="140"/>
      <c r="E115" s="135"/>
      <c r="F115" s="653"/>
      <c r="G115" s="134"/>
      <c r="H115" s="135"/>
      <c r="I115" s="157"/>
      <c r="J115" s="157"/>
      <c r="K115" s="135"/>
      <c r="L115" s="135"/>
      <c r="M115" s="137">
        <v>6.0000000000000001E-3</v>
      </c>
      <c r="N115" s="629">
        <v>3.7850000000000001</v>
      </c>
    </row>
    <row r="116" spans="1:14" s="114" customFormat="1" x14ac:dyDescent="0.2">
      <c r="A116" s="132"/>
      <c r="B116" s="133" t="s">
        <v>158</v>
      </c>
      <c r="C116" s="644" t="s">
        <v>101</v>
      </c>
      <c r="D116" s="140"/>
      <c r="E116" s="135"/>
      <c r="F116" s="653"/>
      <c r="G116" s="134"/>
      <c r="H116" s="135"/>
      <c r="I116" s="157">
        <v>5</v>
      </c>
      <c r="J116" s="157" t="s">
        <v>188</v>
      </c>
      <c r="K116" s="135"/>
      <c r="L116" s="135"/>
      <c r="M116" s="137">
        <v>0.01</v>
      </c>
      <c r="N116" s="629">
        <v>7.04</v>
      </c>
    </row>
    <row r="117" spans="1:14" s="114" customFormat="1" x14ac:dyDescent="0.2">
      <c r="A117" s="132"/>
      <c r="B117" s="133" t="s">
        <v>45</v>
      </c>
      <c r="C117" s="644" t="s">
        <v>101</v>
      </c>
      <c r="D117" s="140"/>
      <c r="E117" s="135"/>
      <c r="F117" s="653"/>
      <c r="G117" s="134"/>
      <c r="H117" s="135"/>
      <c r="I117" s="157"/>
      <c r="J117" s="157"/>
      <c r="K117" s="135"/>
      <c r="L117" s="135"/>
      <c r="M117" s="137">
        <v>3.0000000000000001E-3</v>
      </c>
      <c r="N117" s="629">
        <v>11.146000000000001</v>
      </c>
    </row>
    <row r="118" spans="1:14" s="114" customFormat="1" x14ac:dyDescent="0.2">
      <c r="A118" s="132"/>
      <c r="B118" s="133" t="s">
        <v>167</v>
      </c>
      <c r="C118" s="644" t="s">
        <v>101</v>
      </c>
      <c r="D118" s="140"/>
      <c r="E118" s="135"/>
      <c r="F118" s="653"/>
      <c r="G118" s="134"/>
      <c r="H118" s="135"/>
      <c r="I118" s="157"/>
      <c r="J118" s="157"/>
      <c r="K118" s="135"/>
      <c r="L118" s="135"/>
      <c r="M118" s="137">
        <v>1.7999999999999999E-2</v>
      </c>
      <c r="N118" s="629">
        <v>15.545</v>
      </c>
    </row>
    <row r="119" spans="1:14" s="114" customFormat="1" x14ac:dyDescent="0.2">
      <c r="A119" s="132"/>
      <c r="B119" s="133" t="s">
        <v>172</v>
      </c>
      <c r="C119" s="644" t="s">
        <v>101</v>
      </c>
      <c r="D119" s="140"/>
      <c r="E119" s="135"/>
      <c r="F119" s="653"/>
      <c r="G119" s="134"/>
      <c r="H119" s="135"/>
      <c r="I119" s="157"/>
      <c r="J119" s="157"/>
      <c r="K119" s="135"/>
      <c r="L119" s="135"/>
      <c r="M119" s="137">
        <v>2E-3</v>
      </c>
      <c r="N119" s="629">
        <v>2.0270000000000001</v>
      </c>
    </row>
    <row r="120" spans="1:14" s="114" customFormat="1" x14ac:dyDescent="0.2">
      <c r="A120" s="132"/>
      <c r="B120" s="133" t="s">
        <v>189</v>
      </c>
      <c r="C120" s="644" t="s">
        <v>101</v>
      </c>
      <c r="D120" s="140"/>
      <c r="E120" s="135"/>
      <c r="F120" s="653"/>
      <c r="G120" s="134"/>
      <c r="H120" s="135"/>
      <c r="I120" s="157"/>
      <c r="J120" s="157"/>
      <c r="K120" s="135"/>
      <c r="L120" s="135"/>
      <c r="M120" s="137">
        <v>0.01</v>
      </c>
      <c r="N120" s="629">
        <v>2.3786</v>
      </c>
    </row>
    <row r="121" spans="1:14" s="114" customFormat="1" x14ac:dyDescent="0.2">
      <c r="A121" s="132"/>
      <c r="B121" s="133" t="s">
        <v>190</v>
      </c>
      <c r="C121" s="644" t="s">
        <v>101</v>
      </c>
      <c r="D121" s="140"/>
      <c r="E121" s="135"/>
      <c r="F121" s="653"/>
      <c r="G121" s="134"/>
      <c r="H121" s="135"/>
      <c r="I121" s="157"/>
      <c r="J121" s="157"/>
      <c r="K121" s="135"/>
      <c r="L121" s="135"/>
      <c r="M121" s="137">
        <v>5.0000000000000001E-3</v>
      </c>
      <c r="N121" s="629">
        <v>4.2069999999999999</v>
      </c>
    </row>
    <row r="122" spans="1:14" s="114" customFormat="1" x14ac:dyDescent="0.2">
      <c r="A122" s="132"/>
      <c r="B122" s="133" t="s">
        <v>174</v>
      </c>
      <c r="C122" s="644" t="s">
        <v>101</v>
      </c>
      <c r="D122" s="140"/>
      <c r="E122" s="135"/>
      <c r="F122" s="653"/>
      <c r="G122" s="134"/>
      <c r="H122" s="135"/>
      <c r="I122" s="157"/>
      <c r="J122" s="157"/>
      <c r="K122" s="135"/>
      <c r="L122" s="135"/>
      <c r="M122" s="137">
        <v>5.0000000000000001E-3</v>
      </c>
      <c r="N122" s="629">
        <v>4.3179999999999996</v>
      </c>
    </row>
    <row r="123" spans="1:14" s="114" customFormat="1" x14ac:dyDescent="0.2">
      <c r="A123" s="132"/>
      <c r="B123" s="133" t="s">
        <v>191</v>
      </c>
      <c r="C123" s="644" t="s">
        <v>101</v>
      </c>
      <c r="D123" s="140"/>
      <c r="E123" s="135"/>
      <c r="F123" s="653"/>
      <c r="G123" s="134"/>
      <c r="H123" s="135"/>
      <c r="I123" s="157"/>
      <c r="J123" s="157"/>
      <c r="K123" s="135"/>
      <c r="L123" s="135"/>
      <c r="M123" s="137">
        <v>2E-3</v>
      </c>
      <c r="N123" s="629">
        <v>0.47570000000000001</v>
      </c>
    </row>
    <row r="124" spans="1:14" s="114" customFormat="1" x14ac:dyDescent="0.2">
      <c r="A124" s="132"/>
      <c r="B124" s="133" t="s">
        <v>192</v>
      </c>
      <c r="C124" s="644" t="s">
        <v>101</v>
      </c>
      <c r="D124" s="140"/>
      <c r="E124" s="135"/>
      <c r="F124" s="653"/>
      <c r="G124" s="134"/>
      <c r="H124" s="135"/>
      <c r="I124" s="157"/>
      <c r="J124" s="157"/>
      <c r="K124" s="135"/>
      <c r="L124" s="135"/>
      <c r="M124" s="137">
        <v>8.0000000000000002E-3</v>
      </c>
      <c r="N124" s="629">
        <v>1.5389999999999999</v>
      </c>
    </row>
    <row r="125" spans="1:14" s="114" customFormat="1" x14ac:dyDescent="0.2">
      <c r="A125" s="132"/>
      <c r="B125" s="133" t="s">
        <v>177</v>
      </c>
      <c r="C125" s="644" t="s">
        <v>101</v>
      </c>
      <c r="D125" s="140"/>
      <c r="E125" s="135"/>
      <c r="F125" s="653"/>
      <c r="G125" s="134"/>
      <c r="H125" s="135"/>
      <c r="I125" s="157"/>
      <c r="J125" s="157"/>
      <c r="K125" s="135"/>
      <c r="L125" s="135"/>
      <c r="M125" s="137">
        <v>8.5999999999999993E-2</v>
      </c>
      <c r="N125" s="629">
        <v>68.138000000000005</v>
      </c>
    </row>
    <row r="126" spans="1:14" s="114" customFormat="1" x14ac:dyDescent="0.2">
      <c r="A126" s="132"/>
      <c r="B126" s="133" t="s">
        <v>88</v>
      </c>
      <c r="C126" s="644" t="s">
        <v>101</v>
      </c>
      <c r="D126" s="140"/>
      <c r="E126" s="135"/>
      <c r="F126" s="653"/>
      <c r="G126" s="134"/>
      <c r="H126" s="135"/>
      <c r="I126" s="157"/>
      <c r="J126" s="157"/>
      <c r="K126" s="135"/>
      <c r="L126" s="135"/>
      <c r="M126" s="137">
        <v>3.5000000000000003E-2</v>
      </c>
      <c r="N126" s="629">
        <v>30.227</v>
      </c>
    </row>
    <row r="127" spans="1:14" s="114" customFormat="1" x14ac:dyDescent="0.2">
      <c r="A127" s="132"/>
      <c r="B127" s="133" t="s">
        <v>193</v>
      </c>
      <c r="C127" s="644" t="s">
        <v>101</v>
      </c>
      <c r="D127" s="140"/>
      <c r="E127" s="135"/>
      <c r="F127" s="653"/>
      <c r="G127" s="134"/>
      <c r="H127" s="135"/>
      <c r="I127" s="157"/>
      <c r="J127" s="157"/>
      <c r="K127" s="135"/>
      <c r="L127" s="135"/>
      <c r="M127" s="137">
        <v>0.01</v>
      </c>
      <c r="N127" s="629">
        <v>2.5800999999999998</v>
      </c>
    </row>
    <row r="128" spans="1:14" s="114" customFormat="1" x14ac:dyDescent="0.2">
      <c r="A128" s="132"/>
      <c r="B128" s="133" t="s">
        <v>183</v>
      </c>
      <c r="C128" s="644" t="s">
        <v>101</v>
      </c>
      <c r="D128" s="140"/>
      <c r="E128" s="135"/>
      <c r="F128" s="653"/>
      <c r="G128" s="134"/>
      <c r="H128" s="135"/>
      <c r="I128" s="157"/>
      <c r="J128" s="157"/>
      <c r="K128" s="135"/>
      <c r="L128" s="135"/>
      <c r="M128" s="137">
        <v>2.7E-2</v>
      </c>
      <c r="N128" s="629">
        <v>16.882999999999999</v>
      </c>
    </row>
    <row r="129" spans="1:14" s="114" customFormat="1" x14ac:dyDescent="0.2">
      <c r="A129" s="132"/>
      <c r="B129" s="133" t="s">
        <v>194</v>
      </c>
      <c r="C129" s="644" t="s">
        <v>101</v>
      </c>
      <c r="D129" s="140"/>
      <c r="E129" s="135"/>
      <c r="F129" s="653"/>
      <c r="G129" s="134"/>
      <c r="H129" s="135"/>
      <c r="I129" s="157"/>
      <c r="J129" s="157"/>
      <c r="K129" s="135"/>
      <c r="L129" s="135"/>
      <c r="M129" s="137">
        <v>3.7999999999999999E-2</v>
      </c>
      <c r="N129" s="629">
        <v>38.505000000000003</v>
      </c>
    </row>
    <row r="130" spans="1:14" s="114" customFormat="1" ht="13.5" thickBot="1" x14ac:dyDescent="0.25">
      <c r="A130" s="132"/>
      <c r="B130" s="133" t="s">
        <v>195</v>
      </c>
      <c r="C130" s="644" t="s">
        <v>101</v>
      </c>
      <c r="D130" s="140"/>
      <c r="E130" s="135"/>
      <c r="F130" s="653"/>
      <c r="G130" s="134"/>
      <c r="H130" s="135"/>
      <c r="I130" s="157"/>
      <c r="J130" s="157"/>
      <c r="K130" s="135"/>
      <c r="L130" s="135"/>
      <c r="M130" s="137">
        <v>0.05</v>
      </c>
      <c r="N130" s="629">
        <v>64.084000000000003</v>
      </c>
    </row>
    <row r="131" spans="1:14" s="162" customFormat="1" ht="13.5" thickBot="1" x14ac:dyDescent="0.25">
      <c r="A131" s="158"/>
      <c r="B131" s="159" t="s">
        <v>196</v>
      </c>
      <c r="C131" s="647"/>
      <c r="D131" s="657"/>
      <c r="E131" s="161"/>
      <c r="F131" s="658"/>
      <c r="G131" s="160"/>
      <c r="H131" s="161"/>
      <c r="I131" s="146"/>
      <c r="J131" s="146"/>
      <c r="K131" s="161"/>
      <c r="L131" s="161"/>
      <c r="M131" s="148">
        <f>SUM(M111:M130)</f>
        <v>0.45100000000000007</v>
      </c>
      <c r="N131" s="630">
        <f>SUM(N111:N130)</f>
        <v>359.58940000000001</v>
      </c>
    </row>
    <row r="132" spans="1:14" s="162" customFormat="1" ht="13.5" thickBot="1" x14ac:dyDescent="0.25">
      <c r="A132" s="163"/>
      <c r="B132" s="164" t="s">
        <v>197</v>
      </c>
      <c r="C132" s="648"/>
      <c r="D132" s="659"/>
      <c r="E132" s="166"/>
      <c r="F132" s="660"/>
      <c r="G132" s="165"/>
      <c r="H132" s="166"/>
      <c r="I132" s="167"/>
      <c r="J132" s="167"/>
      <c r="K132" s="166"/>
      <c r="L132" s="166"/>
      <c r="M132" s="168">
        <f>M109+M131</f>
        <v>2.9239999999999995</v>
      </c>
      <c r="N132" s="633">
        <f>N109+N131</f>
        <v>813.51139999999998</v>
      </c>
    </row>
    <row r="133" spans="1:14" s="162" customFormat="1" ht="14.25" thickBot="1" x14ac:dyDescent="0.25">
      <c r="A133" s="169"/>
      <c r="B133" s="170" t="s">
        <v>583</v>
      </c>
      <c r="C133" s="649"/>
      <c r="D133" s="661"/>
      <c r="E133" s="172"/>
      <c r="F133" s="662"/>
      <c r="G133" s="171"/>
      <c r="H133" s="172"/>
      <c r="I133" s="173"/>
      <c r="J133" s="173"/>
      <c r="K133" s="172"/>
      <c r="L133" s="172"/>
      <c r="M133" s="174">
        <f>M63+M132</f>
        <v>5.7229999999999999</v>
      </c>
      <c r="N133" s="634">
        <f>N63+N132</f>
        <v>1776.0994000000001</v>
      </c>
    </row>
    <row r="134" spans="1:14" x14ac:dyDescent="0.2">
      <c r="M134" s="115"/>
      <c r="N134" s="115"/>
    </row>
  </sheetData>
  <autoFilter ref="B9:N63">
    <filterColumn colId="3" showButton="0"/>
    <filterColumn colId="5" showButton="0"/>
    <filterColumn colId="9" showButton="0"/>
    <filterColumn colId="11" showButton="0"/>
    <filterColumn colId="12" showButton="0"/>
  </autoFilter>
  <dataConsolidate/>
  <mergeCells count="16">
    <mergeCell ref="K9:L10"/>
    <mergeCell ref="M9:N9"/>
    <mergeCell ref="B39:C39"/>
    <mergeCell ref="B63:C63"/>
    <mergeCell ref="A9:A10"/>
    <mergeCell ref="B9:B10"/>
    <mergeCell ref="C9:C10"/>
    <mergeCell ref="D9:D10"/>
    <mergeCell ref="E9:F9"/>
    <mergeCell ref="G9:H9"/>
    <mergeCell ref="F1:K1"/>
    <mergeCell ref="F2:K2"/>
    <mergeCell ref="F3:K3"/>
    <mergeCell ref="F4:K4"/>
    <mergeCell ref="A6:N6"/>
    <mergeCell ref="A7:N7"/>
  </mergeCells>
  <pageMargins left="0.59055118110236227" right="0.19685039370078741" top="0.59055118110236227" bottom="0.59055118110236227" header="0" footer="0"/>
  <pageSetup paperSize="9" fitToWidth="0" fitToHeight="0" orientation="portrait" r:id="rId1"/>
  <headerFooter differentFirst="1"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P135"/>
  <sheetViews>
    <sheetView showWhiteSpace="0" zoomScaleNormal="100" workbookViewId="0">
      <pane xSplit="2" ySplit="7" topLeftCell="C59" activePane="bottomRight" state="frozen"/>
      <selection pane="topRight" activeCell="C1" sqref="C1"/>
      <selection pane="bottomLeft" activeCell="A7" sqref="A7"/>
      <selection pane="bottomRight" activeCell="B93" sqref="B93"/>
    </sheetView>
  </sheetViews>
  <sheetFormatPr defaultRowHeight="12.75" x14ac:dyDescent="0.2"/>
  <cols>
    <col min="1" max="1" width="5.140625" style="2" customWidth="1"/>
    <col min="2" max="2" width="24.5703125" customWidth="1"/>
    <col min="3" max="3" width="9.28515625" customWidth="1"/>
    <col min="4" max="4" width="7.5703125" style="2" customWidth="1"/>
    <col min="5" max="5" width="7.42578125" customWidth="1"/>
    <col min="6" max="6" width="8.28515625" style="2" customWidth="1"/>
    <col min="7" max="7" width="11.140625" style="2" customWidth="1"/>
    <col min="8" max="8" width="14.85546875" hidden="1" customWidth="1"/>
    <col min="9" max="11" width="8.5703125" hidden="1" customWidth="1"/>
    <col min="12" max="12" width="8.140625" hidden="1" customWidth="1"/>
    <col min="13" max="13" width="14.85546875" hidden="1" customWidth="1"/>
    <col min="14" max="14" width="8.42578125" customWidth="1"/>
    <col min="15" max="15" width="9.140625" customWidth="1"/>
  </cols>
  <sheetData>
    <row r="1" spans="1:15" ht="76.5" hidden="1" customHeight="1" x14ac:dyDescent="0.25">
      <c r="B1" s="177"/>
      <c r="C1" s="177"/>
      <c r="D1" s="178"/>
      <c r="E1" s="443" t="s">
        <v>199</v>
      </c>
      <c r="F1" s="443"/>
      <c r="G1" s="443"/>
      <c r="H1" s="443"/>
      <c r="I1" s="179"/>
      <c r="J1" s="179"/>
      <c r="K1" s="179"/>
      <c r="L1" s="179"/>
      <c r="M1" s="179"/>
    </row>
    <row r="2" spans="1:15" ht="15.75" x14ac:dyDescent="0.25">
      <c r="B2" s="177"/>
      <c r="C2" s="177"/>
      <c r="D2" s="180"/>
      <c r="E2" s="177"/>
      <c r="F2" s="180"/>
      <c r="G2" s="180"/>
    </row>
    <row r="3" spans="1:15" ht="22.5" customHeight="1" x14ac:dyDescent="0.25">
      <c r="A3" s="181"/>
      <c r="B3" s="444" t="s">
        <v>200</v>
      </c>
      <c r="C3" s="445"/>
      <c r="D3" s="445"/>
      <c r="E3" s="445"/>
      <c r="F3" s="445"/>
      <c r="G3" s="182"/>
    </row>
    <row r="4" spans="1:15" ht="22.5" customHeight="1" thickBot="1" x14ac:dyDescent="0.3">
      <c r="A4" s="181"/>
      <c r="B4" s="445"/>
      <c r="C4" s="445"/>
      <c r="D4" s="445"/>
      <c r="E4" s="445"/>
      <c r="F4" s="445"/>
      <c r="G4" s="182"/>
    </row>
    <row r="5" spans="1:15" ht="18" customHeight="1" thickBot="1" x14ac:dyDescent="0.25">
      <c r="A5" s="435" t="s">
        <v>6</v>
      </c>
      <c r="B5" s="437" t="s">
        <v>7</v>
      </c>
      <c r="C5" s="672" t="s">
        <v>552</v>
      </c>
      <c r="D5" s="673"/>
      <c r="E5" s="673"/>
      <c r="F5" s="673"/>
      <c r="G5" s="674"/>
      <c r="H5" s="441" t="s">
        <v>12</v>
      </c>
      <c r="I5" s="183" t="s">
        <v>206</v>
      </c>
      <c r="J5" s="184" t="s">
        <v>207</v>
      </c>
      <c r="K5" s="185" t="s">
        <v>208</v>
      </c>
      <c r="L5" s="184" t="s">
        <v>209</v>
      </c>
      <c r="M5" s="186"/>
      <c r="N5" s="675" t="s">
        <v>210</v>
      </c>
      <c r="O5" s="677"/>
    </row>
    <row r="6" spans="1:15" ht="18" customHeight="1" thickBot="1" x14ac:dyDescent="0.25">
      <c r="A6" s="663"/>
      <c r="B6" s="664"/>
      <c r="C6" s="679" t="s">
        <v>553</v>
      </c>
      <c r="D6" s="680" t="s">
        <v>554</v>
      </c>
      <c r="E6" s="405" t="s">
        <v>555</v>
      </c>
      <c r="F6" s="681" t="s">
        <v>556</v>
      </c>
      <c r="G6" s="756" t="s">
        <v>205</v>
      </c>
      <c r="H6" s="666"/>
      <c r="I6" s="667"/>
      <c r="J6" s="668"/>
      <c r="K6" s="667"/>
      <c r="L6" s="668"/>
      <c r="M6" s="667"/>
      <c r="N6" s="676"/>
      <c r="O6" s="678"/>
    </row>
    <row r="7" spans="1:15" ht="18.75" customHeight="1" thickBot="1" x14ac:dyDescent="0.25">
      <c r="A7" s="436"/>
      <c r="B7" s="438"/>
      <c r="C7" s="669" t="s">
        <v>307</v>
      </c>
      <c r="D7" s="670" t="s">
        <v>307</v>
      </c>
      <c r="E7" s="399" t="s">
        <v>307</v>
      </c>
      <c r="F7" s="671" t="s">
        <v>307</v>
      </c>
      <c r="G7" s="757"/>
      <c r="H7" s="442"/>
      <c r="I7" s="187" t="s">
        <v>211</v>
      </c>
      <c r="J7" s="188" t="s">
        <v>211</v>
      </c>
      <c r="K7" s="187" t="s">
        <v>211</v>
      </c>
      <c r="L7" s="188" t="s">
        <v>211</v>
      </c>
      <c r="M7" s="187" t="s">
        <v>212</v>
      </c>
      <c r="N7" s="189" t="s">
        <v>211</v>
      </c>
      <c r="O7" s="190" t="s">
        <v>213</v>
      </c>
    </row>
    <row r="8" spans="1:15" ht="12.75" customHeight="1" thickBot="1" x14ac:dyDescent="0.25">
      <c r="A8" s="191"/>
      <c r="B8" s="192"/>
      <c r="C8" s="193"/>
      <c r="D8" s="410"/>
      <c r="E8" s="337"/>
      <c r="F8" s="194"/>
      <c r="G8" s="195"/>
      <c r="H8" s="196"/>
      <c r="I8" s="197"/>
      <c r="J8" s="198"/>
      <c r="K8" s="197"/>
      <c r="L8" s="198"/>
      <c r="M8" s="199"/>
      <c r="N8" s="200"/>
      <c r="O8" s="201"/>
    </row>
    <row r="9" spans="1:15" s="90" customFormat="1" ht="19.5" customHeight="1" x14ac:dyDescent="0.2">
      <c r="A9" s="682">
        <v>1</v>
      </c>
      <c r="B9" s="683" t="s">
        <v>19</v>
      </c>
      <c r="C9" s="684"/>
      <c r="D9" s="30">
        <v>3</v>
      </c>
      <c r="E9" s="30"/>
      <c r="F9" s="31">
        <v>1</v>
      </c>
      <c r="G9" s="685">
        <f t="shared" ref="G9:G23" si="0">(C9+D9+E9+F9)*0.625</f>
        <v>2.5</v>
      </c>
      <c r="H9" s="202"/>
      <c r="I9" s="686"/>
      <c r="J9" s="687"/>
      <c r="K9" s="686">
        <v>1</v>
      </c>
      <c r="L9" s="687">
        <v>4</v>
      </c>
      <c r="M9" s="686"/>
      <c r="N9" s="762">
        <v>10</v>
      </c>
      <c r="O9" s="781">
        <f>1.686+2.487</f>
        <v>4.173</v>
      </c>
    </row>
    <row r="10" spans="1:15" s="90" customFormat="1" ht="18.75" customHeight="1" x14ac:dyDescent="0.2">
      <c r="A10" s="213">
        <f>A9+1</f>
        <v>2</v>
      </c>
      <c r="B10" s="204" t="s">
        <v>24</v>
      </c>
      <c r="C10" s="688"/>
      <c r="D10" s="689">
        <v>6</v>
      </c>
      <c r="E10" s="689"/>
      <c r="F10" s="690"/>
      <c r="G10" s="691">
        <f t="shared" si="0"/>
        <v>3.75</v>
      </c>
      <c r="H10" s="202"/>
      <c r="I10" s="686">
        <v>3</v>
      </c>
      <c r="J10" s="687"/>
      <c r="K10" s="686">
        <v>3</v>
      </c>
      <c r="L10" s="687"/>
      <c r="M10" s="686"/>
      <c r="N10" s="763">
        <v>48</v>
      </c>
      <c r="O10" s="764">
        <f>49.844+1.848</f>
        <v>51.692</v>
      </c>
    </row>
    <row r="11" spans="1:15" s="90" customFormat="1" ht="18.75" customHeight="1" x14ac:dyDescent="0.2">
      <c r="A11" s="213">
        <f t="shared" ref="A11:A56" si="1">A10+1</f>
        <v>3</v>
      </c>
      <c r="B11" s="205" t="s">
        <v>150</v>
      </c>
      <c r="C11" s="688"/>
      <c r="D11" s="689">
        <v>4</v>
      </c>
      <c r="E11" s="689"/>
      <c r="F11" s="690"/>
      <c r="G11" s="691">
        <f t="shared" si="0"/>
        <v>2.5</v>
      </c>
      <c r="H11" s="202"/>
      <c r="I11" s="686"/>
      <c r="J11" s="687"/>
      <c r="K11" s="686">
        <v>1</v>
      </c>
      <c r="L11" s="687"/>
      <c r="M11" s="686"/>
      <c r="N11" s="763">
        <v>1</v>
      </c>
      <c r="O11" s="764">
        <v>0.39900000000000002</v>
      </c>
    </row>
    <row r="12" spans="1:15" s="90" customFormat="1" ht="18.75" customHeight="1" x14ac:dyDescent="0.2">
      <c r="A12" s="213">
        <f t="shared" si="1"/>
        <v>4</v>
      </c>
      <c r="B12" s="206" t="s">
        <v>100</v>
      </c>
      <c r="C12" s="688"/>
      <c r="D12" s="207">
        <v>4</v>
      </c>
      <c r="E12" s="689"/>
      <c r="F12" s="690">
        <v>2</v>
      </c>
      <c r="G12" s="691">
        <f t="shared" si="0"/>
        <v>3.75</v>
      </c>
      <c r="H12" s="202"/>
      <c r="I12" s="686">
        <v>1</v>
      </c>
      <c r="J12" s="687"/>
      <c r="K12" s="686">
        <v>1</v>
      </c>
      <c r="L12" s="687"/>
      <c r="M12" s="686"/>
      <c r="N12" s="763">
        <v>6</v>
      </c>
      <c r="O12" s="764">
        <v>1.9339999999999999</v>
      </c>
    </row>
    <row r="13" spans="1:15" s="90" customFormat="1" ht="18.75" customHeight="1" x14ac:dyDescent="0.2">
      <c r="A13" s="213">
        <f t="shared" si="1"/>
        <v>5</v>
      </c>
      <c r="B13" s="205" t="s">
        <v>215</v>
      </c>
      <c r="C13" s="688"/>
      <c r="D13" s="689">
        <v>5</v>
      </c>
      <c r="E13" s="689"/>
      <c r="F13" s="690"/>
      <c r="G13" s="691">
        <f t="shared" si="0"/>
        <v>3.125</v>
      </c>
      <c r="H13" s="202"/>
      <c r="I13" s="686">
        <v>3</v>
      </c>
      <c r="J13" s="687"/>
      <c r="K13" s="686">
        <v>2</v>
      </c>
      <c r="L13" s="687"/>
      <c r="M13" s="686"/>
      <c r="N13" s="763">
        <v>8</v>
      </c>
      <c r="O13" s="764">
        <v>3.1920000000000002</v>
      </c>
    </row>
    <row r="14" spans="1:15" s="90" customFormat="1" ht="18.75" customHeight="1" x14ac:dyDescent="0.2">
      <c r="A14" s="213">
        <f t="shared" si="1"/>
        <v>6</v>
      </c>
      <c r="B14" s="206" t="s">
        <v>102</v>
      </c>
      <c r="C14" s="688"/>
      <c r="D14" s="207">
        <v>5</v>
      </c>
      <c r="E14" s="689"/>
      <c r="F14" s="690">
        <v>3</v>
      </c>
      <c r="G14" s="691">
        <f t="shared" si="0"/>
        <v>5</v>
      </c>
      <c r="H14" s="202"/>
      <c r="I14" s="686">
        <v>2</v>
      </c>
      <c r="J14" s="687"/>
      <c r="K14" s="686"/>
      <c r="L14" s="687"/>
      <c r="M14" s="686"/>
      <c r="N14" s="763">
        <v>2</v>
      </c>
      <c r="O14" s="764">
        <v>0.79800000000000004</v>
      </c>
    </row>
    <row r="15" spans="1:15" s="90" customFormat="1" ht="18.75" customHeight="1" x14ac:dyDescent="0.2">
      <c r="A15" s="213">
        <f t="shared" si="1"/>
        <v>7</v>
      </c>
      <c r="B15" s="206" t="s">
        <v>216</v>
      </c>
      <c r="C15" s="692"/>
      <c r="D15" s="207">
        <v>5</v>
      </c>
      <c r="E15" s="207"/>
      <c r="F15" s="690">
        <v>2</v>
      </c>
      <c r="G15" s="691">
        <f t="shared" si="0"/>
        <v>4.375</v>
      </c>
      <c r="H15" s="202"/>
      <c r="I15" s="686"/>
      <c r="J15" s="687"/>
      <c r="K15" s="686"/>
      <c r="L15" s="687"/>
      <c r="M15" s="686"/>
      <c r="N15" s="763">
        <v>6</v>
      </c>
      <c r="O15" s="764">
        <f>1.596+0.644</f>
        <v>2.2400000000000002</v>
      </c>
    </row>
    <row r="16" spans="1:15" s="90" customFormat="1" ht="18.75" customHeight="1" x14ac:dyDescent="0.2">
      <c r="A16" s="213">
        <f t="shared" si="1"/>
        <v>8</v>
      </c>
      <c r="B16" s="206" t="s">
        <v>152</v>
      </c>
      <c r="C16" s="688"/>
      <c r="D16" s="207">
        <v>5</v>
      </c>
      <c r="E16" s="689"/>
      <c r="F16" s="690"/>
      <c r="G16" s="691">
        <f t="shared" si="0"/>
        <v>3.125</v>
      </c>
      <c r="H16" s="202"/>
      <c r="I16" s="686">
        <v>7</v>
      </c>
      <c r="J16" s="687"/>
      <c r="K16" s="686">
        <v>1</v>
      </c>
      <c r="L16" s="687"/>
      <c r="M16" s="686"/>
      <c r="N16" s="763">
        <v>39</v>
      </c>
      <c r="O16" s="764">
        <v>17.641999999999999</v>
      </c>
    </row>
    <row r="17" spans="1:15" s="90" customFormat="1" ht="18.75" customHeight="1" x14ac:dyDescent="0.2">
      <c r="A17" s="213">
        <f t="shared" si="1"/>
        <v>9</v>
      </c>
      <c r="B17" s="206" t="s">
        <v>217</v>
      </c>
      <c r="C17" s="688"/>
      <c r="D17" s="207">
        <v>4</v>
      </c>
      <c r="E17" s="689"/>
      <c r="F17" s="690"/>
      <c r="G17" s="691">
        <f t="shared" si="0"/>
        <v>2.5</v>
      </c>
      <c r="H17" s="202"/>
      <c r="I17" s="686">
        <v>2</v>
      </c>
      <c r="J17" s="687"/>
      <c r="K17" s="686"/>
      <c r="L17" s="687"/>
      <c r="M17" s="686"/>
      <c r="N17" s="763">
        <v>1</v>
      </c>
      <c r="O17" s="764">
        <v>0.39900000000000002</v>
      </c>
    </row>
    <row r="18" spans="1:15" s="90" customFormat="1" ht="18.75" customHeight="1" x14ac:dyDescent="0.2">
      <c r="A18" s="213">
        <f t="shared" si="1"/>
        <v>10</v>
      </c>
      <c r="B18" s="206" t="s">
        <v>33</v>
      </c>
      <c r="C18" s="688"/>
      <c r="D18" s="207">
        <v>6</v>
      </c>
      <c r="E18" s="689"/>
      <c r="F18" s="690">
        <v>2</v>
      </c>
      <c r="G18" s="691">
        <f t="shared" si="0"/>
        <v>5</v>
      </c>
      <c r="H18" s="202"/>
      <c r="I18" s="686">
        <v>5</v>
      </c>
      <c r="J18" s="687"/>
      <c r="K18" s="686"/>
      <c r="L18" s="687"/>
      <c r="M18" s="686"/>
      <c r="N18" s="763">
        <v>9</v>
      </c>
      <c r="O18" s="764">
        <v>5.6150000000000002</v>
      </c>
    </row>
    <row r="19" spans="1:15" s="90" customFormat="1" ht="18.75" customHeight="1" x14ac:dyDescent="0.2">
      <c r="A19" s="213">
        <f t="shared" si="1"/>
        <v>11</v>
      </c>
      <c r="B19" s="206" t="s">
        <v>35</v>
      </c>
      <c r="C19" s="688"/>
      <c r="D19" s="207">
        <v>8</v>
      </c>
      <c r="E19" s="689"/>
      <c r="F19" s="690"/>
      <c r="G19" s="691">
        <f t="shared" si="0"/>
        <v>5</v>
      </c>
      <c r="H19" s="202"/>
      <c r="I19" s="686">
        <v>3</v>
      </c>
      <c r="J19" s="687"/>
      <c r="K19" s="686"/>
      <c r="L19" s="687"/>
      <c r="M19" s="686"/>
      <c r="N19" s="763">
        <v>22</v>
      </c>
      <c r="O19" s="764">
        <v>12.53</v>
      </c>
    </row>
    <row r="20" spans="1:15" s="90" customFormat="1" ht="18.75" customHeight="1" x14ac:dyDescent="0.2">
      <c r="A20" s="213">
        <f t="shared" si="1"/>
        <v>12</v>
      </c>
      <c r="B20" s="206" t="s">
        <v>157</v>
      </c>
      <c r="C20" s="688"/>
      <c r="D20" s="207">
        <v>4</v>
      </c>
      <c r="E20" s="689"/>
      <c r="F20" s="690"/>
      <c r="G20" s="691">
        <f t="shared" si="0"/>
        <v>2.5</v>
      </c>
      <c r="H20" s="202"/>
      <c r="I20" s="686"/>
      <c r="J20" s="687"/>
      <c r="K20" s="686"/>
      <c r="L20" s="687"/>
      <c r="M20" s="686"/>
      <c r="N20" s="763">
        <v>4</v>
      </c>
      <c r="O20" s="764">
        <v>1.29</v>
      </c>
    </row>
    <row r="21" spans="1:15" s="90" customFormat="1" ht="18.75" customHeight="1" x14ac:dyDescent="0.2">
      <c r="A21" s="213">
        <f t="shared" si="1"/>
        <v>13</v>
      </c>
      <c r="B21" s="206" t="s">
        <v>219</v>
      </c>
      <c r="C21" s="688"/>
      <c r="D21" s="207">
        <v>3</v>
      </c>
      <c r="E21" s="689"/>
      <c r="F21" s="690"/>
      <c r="G21" s="691">
        <f t="shared" si="0"/>
        <v>1.875</v>
      </c>
      <c r="H21" s="208"/>
      <c r="I21" s="693">
        <v>3</v>
      </c>
      <c r="J21" s="694"/>
      <c r="K21" s="693">
        <v>2</v>
      </c>
      <c r="L21" s="694"/>
      <c r="M21" s="693"/>
      <c r="N21" s="763">
        <v>2</v>
      </c>
      <c r="O21" s="764">
        <v>0.79800000000000004</v>
      </c>
    </row>
    <row r="22" spans="1:15" s="90" customFormat="1" ht="18.75" customHeight="1" x14ac:dyDescent="0.2">
      <c r="A22" s="213">
        <f t="shared" si="1"/>
        <v>14</v>
      </c>
      <c r="B22" s="206" t="s">
        <v>222</v>
      </c>
      <c r="C22" s="688">
        <v>1</v>
      </c>
      <c r="D22" s="207"/>
      <c r="E22" s="689"/>
      <c r="F22" s="690"/>
      <c r="G22" s="691">
        <f t="shared" si="0"/>
        <v>0.625</v>
      </c>
      <c r="H22" s="202" t="s">
        <v>223</v>
      </c>
      <c r="I22" s="686"/>
      <c r="J22" s="687"/>
      <c r="K22" s="686"/>
      <c r="L22" s="687"/>
      <c r="M22" s="686"/>
      <c r="N22" s="763">
        <v>4</v>
      </c>
      <c r="O22" s="764">
        <v>1.6419999999999999</v>
      </c>
    </row>
    <row r="23" spans="1:15" s="90" customFormat="1" ht="18.75" customHeight="1" x14ac:dyDescent="0.2">
      <c r="A23" s="213">
        <f t="shared" si="1"/>
        <v>15</v>
      </c>
      <c r="B23" s="206" t="s">
        <v>224</v>
      </c>
      <c r="C23" s="688"/>
      <c r="D23" s="207">
        <v>2</v>
      </c>
      <c r="E23" s="689"/>
      <c r="F23" s="690">
        <v>1</v>
      </c>
      <c r="G23" s="691">
        <f t="shared" si="0"/>
        <v>1.875</v>
      </c>
      <c r="H23" s="202"/>
      <c r="I23" s="686">
        <v>2</v>
      </c>
      <c r="J23" s="687"/>
      <c r="K23" s="686">
        <v>3</v>
      </c>
      <c r="L23" s="687"/>
      <c r="M23" s="686" t="s">
        <v>225</v>
      </c>
      <c r="N23" s="763">
        <v>39</v>
      </c>
      <c r="O23" s="764">
        <v>9.4939999999999998</v>
      </c>
    </row>
    <row r="24" spans="1:15" s="90" customFormat="1" ht="18.75" customHeight="1" x14ac:dyDescent="0.2">
      <c r="A24" s="213">
        <f t="shared" si="1"/>
        <v>16</v>
      </c>
      <c r="B24" s="206" t="s">
        <v>228</v>
      </c>
      <c r="C24" s="688"/>
      <c r="D24" s="207">
        <v>4</v>
      </c>
      <c r="E24" s="689"/>
      <c r="F24" s="690">
        <v>2</v>
      </c>
      <c r="G24" s="691">
        <f t="shared" ref="G24:G54" si="2">(C24+D24+E24+F24)*0.625</f>
        <v>3.75</v>
      </c>
      <c r="H24" s="202"/>
      <c r="I24" s="686">
        <v>12</v>
      </c>
      <c r="J24" s="687"/>
      <c r="K24" s="686"/>
      <c r="L24" s="687"/>
      <c r="M24" s="686" t="s">
        <v>229</v>
      </c>
      <c r="N24" s="763">
        <v>6</v>
      </c>
      <c r="O24" s="764">
        <v>2.69</v>
      </c>
    </row>
    <row r="25" spans="1:15" s="90" customFormat="1" ht="18.75" customHeight="1" x14ac:dyDescent="0.2">
      <c r="A25" s="213">
        <f t="shared" si="1"/>
        <v>17</v>
      </c>
      <c r="B25" s="206" t="s">
        <v>231</v>
      </c>
      <c r="C25" s="688"/>
      <c r="D25" s="207">
        <v>3</v>
      </c>
      <c r="E25" s="689"/>
      <c r="F25" s="690"/>
      <c r="G25" s="691">
        <f t="shared" si="2"/>
        <v>1.875</v>
      </c>
      <c r="H25" s="202"/>
      <c r="I25" s="686">
        <v>2</v>
      </c>
      <c r="J25" s="687"/>
      <c r="K25" s="686">
        <v>1</v>
      </c>
      <c r="L25" s="687"/>
      <c r="M25" s="686"/>
      <c r="N25" s="763">
        <v>9</v>
      </c>
      <c r="O25" s="764">
        <v>3.3330000000000002</v>
      </c>
    </row>
    <row r="26" spans="1:15" s="90" customFormat="1" ht="18.75" customHeight="1" x14ac:dyDescent="0.2">
      <c r="A26" s="213">
        <f t="shared" si="1"/>
        <v>18</v>
      </c>
      <c r="B26" s="206" t="s">
        <v>52</v>
      </c>
      <c r="C26" s="688"/>
      <c r="D26" s="207">
        <v>4</v>
      </c>
      <c r="E26" s="689"/>
      <c r="F26" s="690">
        <v>2</v>
      </c>
      <c r="G26" s="691">
        <f t="shared" si="2"/>
        <v>3.75</v>
      </c>
      <c r="H26" s="202"/>
      <c r="I26" s="686"/>
      <c r="J26" s="687"/>
      <c r="K26" s="686"/>
      <c r="L26" s="687"/>
      <c r="M26" s="686"/>
      <c r="N26" s="763">
        <v>4</v>
      </c>
      <c r="O26" s="764">
        <v>1.288</v>
      </c>
    </row>
    <row r="27" spans="1:15" s="90" customFormat="1" ht="18.75" customHeight="1" x14ac:dyDescent="0.2">
      <c r="A27" s="213">
        <f t="shared" si="1"/>
        <v>19</v>
      </c>
      <c r="B27" s="206" t="s">
        <v>232</v>
      </c>
      <c r="C27" s="688"/>
      <c r="D27" s="207">
        <v>5</v>
      </c>
      <c r="E27" s="689"/>
      <c r="F27" s="690"/>
      <c r="G27" s="691">
        <f t="shared" si="2"/>
        <v>3.125</v>
      </c>
      <c r="H27" s="202"/>
      <c r="I27" s="686"/>
      <c r="J27" s="687"/>
      <c r="K27" s="686"/>
      <c r="L27" s="687"/>
      <c r="M27" s="686"/>
      <c r="N27" s="763">
        <v>9</v>
      </c>
      <c r="O27" s="764">
        <v>3.7490000000000001</v>
      </c>
    </row>
    <row r="28" spans="1:15" s="90" customFormat="1" ht="18.75" customHeight="1" x14ac:dyDescent="0.2">
      <c r="A28" s="213">
        <f t="shared" si="1"/>
        <v>20</v>
      </c>
      <c r="B28" s="206" t="s">
        <v>54</v>
      </c>
      <c r="C28" s="688"/>
      <c r="D28" s="207">
        <v>4</v>
      </c>
      <c r="E28" s="689"/>
      <c r="F28" s="690">
        <v>1</v>
      </c>
      <c r="G28" s="691">
        <f t="shared" si="2"/>
        <v>3.125</v>
      </c>
      <c r="H28" s="202"/>
      <c r="I28" s="686"/>
      <c r="J28" s="687"/>
      <c r="K28" s="686"/>
      <c r="L28" s="687"/>
      <c r="M28" s="686"/>
      <c r="N28" s="763">
        <v>3</v>
      </c>
      <c r="O28" s="764">
        <v>1.2310000000000001</v>
      </c>
    </row>
    <row r="29" spans="1:15" s="90" customFormat="1" ht="18.75" customHeight="1" x14ac:dyDescent="0.2">
      <c r="A29" s="213">
        <f t="shared" si="1"/>
        <v>21</v>
      </c>
      <c r="B29" s="206" t="s">
        <v>233</v>
      </c>
      <c r="C29" s="688"/>
      <c r="D29" s="207">
        <v>5</v>
      </c>
      <c r="E29" s="689"/>
      <c r="F29" s="690"/>
      <c r="G29" s="691">
        <f t="shared" si="2"/>
        <v>3.125</v>
      </c>
      <c r="H29" s="202"/>
      <c r="I29" s="686">
        <v>6</v>
      </c>
      <c r="J29" s="687"/>
      <c r="K29" s="686">
        <v>1</v>
      </c>
      <c r="L29" s="687"/>
      <c r="M29" s="686"/>
      <c r="N29" s="763">
        <v>9</v>
      </c>
      <c r="O29" s="764">
        <f>1.681+1.848</f>
        <v>3.5289999999999999</v>
      </c>
    </row>
    <row r="30" spans="1:15" s="90" customFormat="1" ht="18.75" customHeight="1" x14ac:dyDescent="0.2">
      <c r="A30" s="213">
        <f t="shared" si="1"/>
        <v>22</v>
      </c>
      <c r="B30" s="206" t="s">
        <v>235</v>
      </c>
      <c r="C30" s="695"/>
      <c r="D30" s="696">
        <v>4</v>
      </c>
      <c r="E30" s="697">
        <v>4</v>
      </c>
      <c r="F30" s="690">
        <v>1</v>
      </c>
      <c r="G30" s="691">
        <f t="shared" si="2"/>
        <v>5.625</v>
      </c>
      <c r="H30" s="202" t="s">
        <v>236</v>
      </c>
      <c r="I30" s="686">
        <v>5</v>
      </c>
      <c r="J30" s="687"/>
      <c r="K30" s="686"/>
      <c r="L30" s="687">
        <v>3</v>
      </c>
      <c r="M30" s="686"/>
      <c r="N30" s="763">
        <v>15</v>
      </c>
      <c r="O30" s="764">
        <v>9.09</v>
      </c>
    </row>
    <row r="31" spans="1:15" s="90" customFormat="1" ht="18.75" customHeight="1" x14ac:dyDescent="0.2">
      <c r="A31" s="213">
        <f t="shared" si="1"/>
        <v>23</v>
      </c>
      <c r="B31" s="206" t="s">
        <v>168</v>
      </c>
      <c r="C31" s="695"/>
      <c r="D31" s="696">
        <v>6</v>
      </c>
      <c r="E31" s="697"/>
      <c r="F31" s="690"/>
      <c r="G31" s="691">
        <f t="shared" si="2"/>
        <v>3.75</v>
      </c>
      <c r="H31" s="202"/>
      <c r="I31" s="686">
        <v>4</v>
      </c>
      <c r="J31" s="687"/>
      <c r="K31" s="686">
        <v>1</v>
      </c>
      <c r="L31" s="687"/>
      <c r="M31" s="686"/>
      <c r="N31" s="763">
        <v>33</v>
      </c>
      <c r="O31" s="764">
        <v>15.704000000000001</v>
      </c>
    </row>
    <row r="32" spans="1:15" s="90" customFormat="1" ht="18.75" customHeight="1" x14ac:dyDescent="0.2">
      <c r="A32" s="213">
        <f t="shared" si="1"/>
        <v>24</v>
      </c>
      <c r="B32" s="206" t="s">
        <v>59</v>
      </c>
      <c r="C32" s="695"/>
      <c r="D32" s="696">
        <v>7</v>
      </c>
      <c r="E32" s="697"/>
      <c r="F32" s="690">
        <v>3</v>
      </c>
      <c r="G32" s="691">
        <f t="shared" si="2"/>
        <v>6.25</v>
      </c>
      <c r="H32" s="202"/>
      <c r="I32" s="686"/>
      <c r="J32" s="687"/>
      <c r="K32" s="686"/>
      <c r="L32" s="687"/>
      <c r="M32" s="686"/>
      <c r="N32" s="763">
        <v>10</v>
      </c>
      <c r="O32" s="764">
        <v>3.99</v>
      </c>
    </row>
    <row r="33" spans="1:15" s="90" customFormat="1" ht="18.75" customHeight="1" x14ac:dyDescent="0.2">
      <c r="A33" s="213">
        <f t="shared" si="1"/>
        <v>25</v>
      </c>
      <c r="B33" s="206" t="s">
        <v>237</v>
      </c>
      <c r="C33" s="695"/>
      <c r="D33" s="696">
        <v>6</v>
      </c>
      <c r="E33" s="697"/>
      <c r="F33" s="690">
        <v>1</v>
      </c>
      <c r="G33" s="691">
        <f t="shared" si="2"/>
        <v>4.375</v>
      </c>
      <c r="H33" s="202"/>
      <c r="I33" s="686">
        <v>5</v>
      </c>
      <c r="J33" s="687"/>
      <c r="K33" s="686"/>
      <c r="L33" s="687"/>
      <c r="M33" s="686"/>
      <c r="N33" s="763">
        <f>11+4+3</f>
        <v>18</v>
      </c>
      <c r="O33" s="764">
        <f>0.399+4.145+1.686+0.84</f>
        <v>7.0699999999999994</v>
      </c>
    </row>
    <row r="34" spans="1:15" s="90" customFormat="1" ht="18.75" customHeight="1" x14ac:dyDescent="0.2">
      <c r="A34" s="213">
        <f t="shared" si="1"/>
        <v>26</v>
      </c>
      <c r="B34" s="206" t="s">
        <v>66</v>
      </c>
      <c r="C34" s="695">
        <v>1</v>
      </c>
      <c r="D34" s="696">
        <v>7</v>
      </c>
      <c r="E34" s="697"/>
      <c r="F34" s="690">
        <v>1</v>
      </c>
      <c r="G34" s="691">
        <f t="shared" si="2"/>
        <v>5.625</v>
      </c>
      <c r="H34" s="202"/>
      <c r="I34" s="686">
        <v>5</v>
      </c>
      <c r="J34" s="687"/>
      <c r="K34" s="686"/>
      <c r="L34" s="687"/>
      <c r="M34" s="686"/>
      <c r="N34" s="763">
        <v>26</v>
      </c>
      <c r="O34" s="764">
        <v>10.817</v>
      </c>
    </row>
    <row r="35" spans="1:15" s="90" customFormat="1" ht="18.75" customHeight="1" x14ac:dyDescent="0.2">
      <c r="A35" s="213">
        <f t="shared" si="1"/>
        <v>27</v>
      </c>
      <c r="B35" s="206" t="s">
        <v>238</v>
      </c>
      <c r="C35" s="695"/>
      <c r="D35" s="696">
        <v>4</v>
      </c>
      <c r="E35" s="697"/>
      <c r="F35" s="690"/>
      <c r="G35" s="691">
        <f t="shared" si="2"/>
        <v>2.5</v>
      </c>
      <c r="H35" s="202"/>
      <c r="I35" s="686">
        <v>5</v>
      </c>
      <c r="J35" s="687"/>
      <c r="K35" s="686"/>
      <c r="L35" s="687"/>
      <c r="M35" s="686"/>
      <c r="N35" s="763">
        <v>2</v>
      </c>
      <c r="O35" s="764">
        <v>0.79800000000000004</v>
      </c>
    </row>
    <row r="36" spans="1:15" s="90" customFormat="1" ht="18.75" customHeight="1" x14ac:dyDescent="0.2">
      <c r="A36" s="213">
        <f t="shared" si="1"/>
        <v>28</v>
      </c>
      <c r="B36" s="206" t="s">
        <v>67</v>
      </c>
      <c r="C36" s="695">
        <v>1</v>
      </c>
      <c r="D36" s="697">
        <v>10</v>
      </c>
      <c r="E36" s="697"/>
      <c r="F36" s="690">
        <v>2</v>
      </c>
      <c r="G36" s="691">
        <f t="shared" si="2"/>
        <v>8.125</v>
      </c>
      <c r="H36" s="202"/>
      <c r="I36" s="686">
        <v>6</v>
      </c>
      <c r="J36" s="687"/>
      <c r="K36" s="686"/>
      <c r="L36" s="687"/>
      <c r="M36" s="686"/>
      <c r="N36" s="763">
        <v>19</v>
      </c>
      <c r="O36" s="764">
        <v>9.8070000000000004</v>
      </c>
    </row>
    <row r="37" spans="1:15" s="90" customFormat="1" ht="18.75" customHeight="1" x14ac:dyDescent="0.2">
      <c r="A37" s="213">
        <f t="shared" si="1"/>
        <v>29</v>
      </c>
      <c r="B37" s="206" t="s">
        <v>69</v>
      </c>
      <c r="C37" s="688"/>
      <c r="D37" s="207">
        <v>2</v>
      </c>
      <c r="E37" s="689">
        <v>1</v>
      </c>
      <c r="F37" s="690">
        <v>2</v>
      </c>
      <c r="G37" s="691">
        <f t="shared" si="2"/>
        <v>3.125</v>
      </c>
      <c r="H37" s="208"/>
      <c r="I37" s="693"/>
      <c r="J37" s="694"/>
      <c r="K37" s="693"/>
      <c r="L37" s="694"/>
      <c r="M37" s="693"/>
      <c r="N37" s="763">
        <f>5+6</f>
        <v>11</v>
      </c>
      <c r="O37" s="764">
        <f>1.995+2.487</f>
        <v>4.4820000000000002</v>
      </c>
    </row>
    <row r="38" spans="1:15" s="90" customFormat="1" ht="18.75" customHeight="1" x14ac:dyDescent="0.2">
      <c r="A38" s="213">
        <f t="shared" si="1"/>
        <v>30</v>
      </c>
      <c r="B38" s="206" t="s">
        <v>239</v>
      </c>
      <c r="C38" s="688">
        <v>1</v>
      </c>
      <c r="D38" s="207">
        <v>3</v>
      </c>
      <c r="E38" s="689"/>
      <c r="F38" s="690">
        <v>1</v>
      </c>
      <c r="G38" s="691">
        <f t="shared" si="2"/>
        <v>3.125</v>
      </c>
      <c r="H38" s="208"/>
      <c r="I38" s="693"/>
      <c r="J38" s="694"/>
      <c r="K38" s="693"/>
      <c r="L38" s="694"/>
      <c r="M38" s="693"/>
      <c r="N38" s="763">
        <v>4</v>
      </c>
      <c r="O38" s="764">
        <v>1.288</v>
      </c>
    </row>
    <row r="39" spans="1:15" s="90" customFormat="1" ht="18.75" customHeight="1" x14ac:dyDescent="0.2">
      <c r="A39" s="213">
        <f t="shared" si="1"/>
        <v>31</v>
      </c>
      <c r="B39" s="206" t="s">
        <v>241</v>
      </c>
      <c r="C39" s="688"/>
      <c r="D39" s="689">
        <v>5</v>
      </c>
      <c r="E39" s="689"/>
      <c r="F39" s="698"/>
      <c r="G39" s="691">
        <f t="shared" si="2"/>
        <v>3.125</v>
      </c>
      <c r="H39" s="208"/>
      <c r="I39" s="693">
        <v>4</v>
      </c>
      <c r="J39" s="694"/>
      <c r="K39" s="693">
        <v>2</v>
      </c>
      <c r="L39" s="694"/>
      <c r="M39" s="693"/>
      <c r="N39" s="763">
        <v>13</v>
      </c>
      <c r="O39" s="764">
        <v>5.556</v>
      </c>
    </row>
    <row r="40" spans="1:15" s="90" customFormat="1" ht="18.75" customHeight="1" x14ac:dyDescent="0.2">
      <c r="A40" s="213">
        <f t="shared" si="1"/>
        <v>32</v>
      </c>
      <c r="B40" s="206" t="s">
        <v>176</v>
      </c>
      <c r="C40" s="688">
        <v>1</v>
      </c>
      <c r="D40" s="689">
        <v>3</v>
      </c>
      <c r="E40" s="689"/>
      <c r="F40" s="698"/>
      <c r="G40" s="691">
        <f t="shared" si="2"/>
        <v>2.5</v>
      </c>
      <c r="H40" s="208"/>
      <c r="I40" s="693">
        <v>1</v>
      </c>
      <c r="J40" s="694"/>
      <c r="K40" s="693">
        <v>1</v>
      </c>
      <c r="L40" s="694"/>
      <c r="M40" s="693"/>
      <c r="N40" s="763">
        <v>4</v>
      </c>
      <c r="O40" s="764">
        <v>1.5960000000000001</v>
      </c>
    </row>
    <row r="41" spans="1:15" s="90" customFormat="1" ht="18.75" customHeight="1" x14ac:dyDescent="0.2">
      <c r="A41" s="213">
        <f t="shared" si="1"/>
        <v>33</v>
      </c>
      <c r="B41" s="206" t="s">
        <v>81</v>
      </c>
      <c r="C41" s="688"/>
      <c r="D41" s="207">
        <v>6</v>
      </c>
      <c r="E41" s="689"/>
      <c r="F41" s="690">
        <v>3</v>
      </c>
      <c r="G41" s="691">
        <f t="shared" si="2"/>
        <v>5.625</v>
      </c>
      <c r="H41" s="208"/>
      <c r="I41" s="693">
        <v>1</v>
      </c>
      <c r="J41" s="694"/>
      <c r="K41" s="693">
        <v>1</v>
      </c>
      <c r="L41" s="694"/>
      <c r="M41" s="693"/>
      <c r="N41" s="763">
        <v>15</v>
      </c>
      <c r="O41" s="764">
        <v>9.6289999999999996</v>
      </c>
    </row>
    <row r="42" spans="1:15" s="90" customFormat="1" ht="18.75" customHeight="1" x14ac:dyDescent="0.2">
      <c r="A42" s="213">
        <f t="shared" si="1"/>
        <v>34</v>
      </c>
      <c r="B42" s="206" t="s">
        <v>242</v>
      </c>
      <c r="C42" s="688"/>
      <c r="D42" s="207">
        <v>4</v>
      </c>
      <c r="E42" s="689"/>
      <c r="F42" s="690">
        <v>2</v>
      </c>
      <c r="G42" s="691">
        <f t="shared" si="2"/>
        <v>3.75</v>
      </c>
      <c r="H42" s="208"/>
      <c r="I42" s="693"/>
      <c r="J42" s="694"/>
      <c r="K42" s="693"/>
      <c r="L42" s="694"/>
      <c r="M42" s="693"/>
      <c r="N42" s="763">
        <v>6</v>
      </c>
      <c r="O42" s="764">
        <v>1.681</v>
      </c>
    </row>
    <row r="43" spans="1:15" s="90" customFormat="1" ht="18.75" customHeight="1" x14ac:dyDescent="0.2">
      <c r="A43" s="213">
        <f t="shared" si="1"/>
        <v>35</v>
      </c>
      <c r="B43" s="206" t="s">
        <v>243</v>
      </c>
      <c r="C43" s="688"/>
      <c r="D43" s="207"/>
      <c r="E43" s="689"/>
      <c r="F43" s="690">
        <v>3</v>
      </c>
      <c r="G43" s="691">
        <f t="shared" si="2"/>
        <v>1.875</v>
      </c>
      <c r="H43" s="208"/>
      <c r="I43" s="693"/>
      <c r="J43" s="694"/>
      <c r="K43" s="693">
        <v>1</v>
      </c>
      <c r="L43" s="694"/>
      <c r="M43" s="693"/>
      <c r="N43" s="763">
        <v>2</v>
      </c>
      <c r="O43" s="764">
        <v>0.879</v>
      </c>
    </row>
    <row r="44" spans="1:15" s="90" customFormat="1" ht="18.75" customHeight="1" x14ac:dyDescent="0.2">
      <c r="A44" s="213">
        <f t="shared" si="1"/>
        <v>36</v>
      </c>
      <c r="B44" s="206" t="s">
        <v>82</v>
      </c>
      <c r="C44" s="688"/>
      <c r="D44" s="207">
        <v>15</v>
      </c>
      <c r="E44" s="689"/>
      <c r="F44" s="690">
        <v>4</v>
      </c>
      <c r="G44" s="691">
        <f t="shared" si="2"/>
        <v>11.875</v>
      </c>
      <c r="H44" s="208"/>
      <c r="I44" s="693">
        <v>2</v>
      </c>
      <c r="J44" s="694"/>
      <c r="K44" s="693"/>
      <c r="L44" s="694"/>
      <c r="M44" s="693"/>
      <c r="N44" s="763">
        <v>12</v>
      </c>
      <c r="O44" s="764">
        <v>6.1230000000000002</v>
      </c>
    </row>
    <row r="45" spans="1:15" s="90" customFormat="1" ht="18.75" customHeight="1" x14ac:dyDescent="0.2">
      <c r="A45" s="213">
        <f t="shared" si="1"/>
        <v>37</v>
      </c>
      <c r="B45" s="206" t="s">
        <v>244</v>
      </c>
      <c r="C45" s="688">
        <v>1</v>
      </c>
      <c r="D45" s="689">
        <v>3</v>
      </c>
      <c r="E45" s="689"/>
      <c r="F45" s="698"/>
      <c r="G45" s="691">
        <f t="shared" si="2"/>
        <v>2.5</v>
      </c>
      <c r="H45" s="208"/>
      <c r="I45" s="693"/>
      <c r="J45" s="694"/>
      <c r="K45" s="693"/>
      <c r="L45" s="694"/>
      <c r="M45" s="693"/>
      <c r="N45" s="763">
        <f>7+5</f>
        <v>12</v>
      </c>
      <c r="O45" s="764">
        <f>1.995+4.683</f>
        <v>6.6779999999999999</v>
      </c>
    </row>
    <row r="46" spans="1:15" s="90" customFormat="1" ht="18.75" customHeight="1" x14ac:dyDescent="0.2">
      <c r="A46" s="213">
        <f t="shared" si="1"/>
        <v>38</v>
      </c>
      <c r="B46" s="206" t="s">
        <v>245</v>
      </c>
      <c r="C46" s="688">
        <v>1</v>
      </c>
      <c r="D46" s="689">
        <v>3</v>
      </c>
      <c r="E46" s="689"/>
      <c r="F46" s="698"/>
      <c r="G46" s="691">
        <f t="shared" si="2"/>
        <v>2.5</v>
      </c>
      <c r="H46" s="208"/>
      <c r="I46" s="693">
        <v>1</v>
      </c>
      <c r="J46" s="694"/>
      <c r="K46" s="693">
        <v>3</v>
      </c>
      <c r="L46" s="694"/>
      <c r="M46" s="693"/>
      <c r="N46" s="763">
        <f>4+1</f>
        <v>5</v>
      </c>
      <c r="O46" s="764">
        <f>2.463+0.399</f>
        <v>2.8620000000000001</v>
      </c>
    </row>
    <row r="47" spans="1:15" s="90" customFormat="1" ht="18.75" customHeight="1" x14ac:dyDescent="0.2">
      <c r="A47" s="213">
        <f t="shared" si="1"/>
        <v>39</v>
      </c>
      <c r="B47" s="206" t="s">
        <v>246</v>
      </c>
      <c r="C47" s="688">
        <v>2</v>
      </c>
      <c r="D47" s="689">
        <v>5</v>
      </c>
      <c r="E47" s="689"/>
      <c r="F47" s="698"/>
      <c r="G47" s="691">
        <f t="shared" si="2"/>
        <v>4.375</v>
      </c>
      <c r="H47" s="208"/>
      <c r="I47" s="693">
        <v>2</v>
      </c>
      <c r="J47" s="694"/>
      <c r="K47" s="693">
        <v>2</v>
      </c>
      <c r="L47" s="694"/>
      <c r="M47" s="693"/>
      <c r="N47" s="763">
        <v>22</v>
      </c>
      <c r="O47" s="764">
        <v>9.0009999999999994</v>
      </c>
    </row>
    <row r="48" spans="1:15" s="90" customFormat="1" ht="18.75" customHeight="1" x14ac:dyDescent="0.2">
      <c r="A48" s="213">
        <f t="shared" si="1"/>
        <v>40</v>
      </c>
      <c r="B48" s="206" t="s">
        <v>247</v>
      </c>
      <c r="C48" s="688"/>
      <c r="D48" s="207">
        <v>2</v>
      </c>
      <c r="E48" s="689"/>
      <c r="F48" s="690"/>
      <c r="G48" s="691">
        <f t="shared" si="2"/>
        <v>1.25</v>
      </c>
      <c r="H48" s="208"/>
      <c r="I48" s="693">
        <v>3</v>
      </c>
      <c r="J48" s="694"/>
      <c r="K48" s="693">
        <v>2</v>
      </c>
      <c r="L48" s="694"/>
      <c r="M48" s="693"/>
      <c r="N48" s="763">
        <v>18</v>
      </c>
      <c r="O48" s="764">
        <v>8.532</v>
      </c>
    </row>
    <row r="49" spans="1:15" s="90" customFormat="1" ht="18.75" customHeight="1" x14ac:dyDescent="0.2">
      <c r="A49" s="213">
        <f t="shared" si="1"/>
        <v>41</v>
      </c>
      <c r="B49" s="206" t="s">
        <v>248</v>
      </c>
      <c r="C49" s="688"/>
      <c r="D49" s="207">
        <v>4</v>
      </c>
      <c r="E49" s="689"/>
      <c r="F49" s="690">
        <v>1</v>
      </c>
      <c r="G49" s="691">
        <f t="shared" si="2"/>
        <v>3.125</v>
      </c>
      <c r="H49" s="208"/>
      <c r="I49" s="693">
        <v>3</v>
      </c>
      <c r="J49" s="694"/>
      <c r="K49" s="693">
        <v>2</v>
      </c>
      <c r="L49" s="694"/>
      <c r="M49" s="693" t="s">
        <v>249</v>
      </c>
      <c r="N49" s="763">
        <v>12</v>
      </c>
      <c r="O49" s="764">
        <v>5.234</v>
      </c>
    </row>
    <row r="50" spans="1:15" s="90" customFormat="1" ht="18.75" customHeight="1" x14ac:dyDescent="0.2">
      <c r="A50" s="213">
        <f t="shared" si="1"/>
        <v>42</v>
      </c>
      <c r="B50" s="204" t="s">
        <v>251</v>
      </c>
      <c r="C50" s="688">
        <v>1</v>
      </c>
      <c r="D50" s="689"/>
      <c r="E50" s="689"/>
      <c r="F50" s="690"/>
      <c r="G50" s="691">
        <f t="shared" si="2"/>
        <v>0.625</v>
      </c>
      <c r="H50" s="208"/>
      <c r="I50" s="693">
        <v>2</v>
      </c>
      <c r="J50" s="694"/>
      <c r="K50" s="693"/>
      <c r="L50" s="694"/>
      <c r="M50" s="693"/>
      <c r="N50" s="763">
        <v>9</v>
      </c>
      <c r="O50" s="764">
        <v>2.5209999999999999</v>
      </c>
    </row>
    <row r="51" spans="1:15" s="90" customFormat="1" ht="18.75" customHeight="1" x14ac:dyDescent="0.2">
      <c r="A51" s="213">
        <f t="shared" si="1"/>
        <v>43</v>
      </c>
      <c r="B51" s="206" t="s">
        <v>88</v>
      </c>
      <c r="C51" s="688"/>
      <c r="D51" s="207">
        <v>2</v>
      </c>
      <c r="E51" s="689"/>
      <c r="F51" s="690"/>
      <c r="G51" s="691">
        <f t="shared" si="2"/>
        <v>1.25</v>
      </c>
      <c r="H51" s="209"/>
      <c r="I51" s="699"/>
      <c r="J51" s="700"/>
      <c r="K51" s="699"/>
      <c r="L51" s="700"/>
      <c r="M51" s="699"/>
      <c r="N51" s="763">
        <v>10</v>
      </c>
      <c r="O51" s="764">
        <v>4.0469999999999997</v>
      </c>
    </row>
    <row r="52" spans="1:15" s="90" customFormat="1" ht="18.75" customHeight="1" x14ac:dyDescent="0.2">
      <c r="A52" s="213">
        <f t="shared" si="1"/>
        <v>44</v>
      </c>
      <c r="B52" s="204" t="s">
        <v>89</v>
      </c>
      <c r="C52" s="688"/>
      <c r="D52" s="207">
        <v>2</v>
      </c>
      <c r="E52" s="689"/>
      <c r="F52" s="690"/>
      <c r="G52" s="691">
        <f t="shared" si="2"/>
        <v>1.25</v>
      </c>
      <c r="H52" s="208"/>
      <c r="I52" s="693"/>
      <c r="J52" s="694"/>
      <c r="K52" s="693"/>
      <c r="L52" s="694"/>
      <c r="M52" s="693"/>
      <c r="N52" s="763">
        <f>13+4</f>
        <v>17</v>
      </c>
      <c r="O52" s="764">
        <f>5.389+1.596</f>
        <v>6.9850000000000003</v>
      </c>
    </row>
    <row r="53" spans="1:15" s="90" customFormat="1" ht="18.75" customHeight="1" x14ac:dyDescent="0.2">
      <c r="A53" s="213">
        <f t="shared" si="1"/>
        <v>45</v>
      </c>
      <c r="B53" s="204" t="s">
        <v>180</v>
      </c>
      <c r="C53" s="688"/>
      <c r="D53" s="207">
        <v>5</v>
      </c>
      <c r="E53" s="689"/>
      <c r="F53" s="690">
        <v>1</v>
      </c>
      <c r="G53" s="691">
        <f t="shared" si="2"/>
        <v>3.75</v>
      </c>
      <c r="H53" s="208"/>
      <c r="I53" s="693">
        <v>3</v>
      </c>
      <c r="J53" s="694"/>
      <c r="K53" s="693">
        <v>2</v>
      </c>
      <c r="L53" s="694"/>
      <c r="M53" s="693"/>
      <c r="N53" s="763">
        <f>4+26+12+3+2</f>
        <v>47</v>
      </c>
      <c r="O53" s="764">
        <f>1.596+17.396+4.974+1.264+0.644</f>
        <v>25.873999999999999</v>
      </c>
    </row>
    <row r="54" spans="1:15" s="90" customFormat="1" ht="18.75" customHeight="1" x14ac:dyDescent="0.2">
      <c r="A54" s="213">
        <f t="shared" si="1"/>
        <v>46</v>
      </c>
      <c r="B54" s="204" t="s">
        <v>181</v>
      </c>
      <c r="C54" s="688"/>
      <c r="D54" s="207">
        <v>2</v>
      </c>
      <c r="E54" s="689"/>
      <c r="F54" s="690"/>
      <c r="G54" s="691">
        <f t="shared" si="2"/>
        <v>1.25</v>
      </c>
      <c r="H54" s="208"/>
      <c r="I54" s="693"/>
      <c r="J54" s="694"/>
      <c r="K54" s="693"/>
      <c r="L54" s="694"/>
      <c r="M54" s="693"/>
      <c r="N54" s="763">
        <v>11</v>
      </c>
      <c r="O54" s="764">
        <v>3.7010000000000001</v>
      </c>
    </row>
    <row r="55" spans="1:15" s="90" customFormat="1" ht="18.75" customHeight="1" x14ac:dyDescent="0.2">
      <c r="A55" s="213">
        <f t="shared" si="1"/>
        <v>47</v>
      </c>
      <c r="B55" s="206" t="s">
        <v>142</v>
      </c>
      <c r="C55" s="688"/>
      <c r="D55" s="207">
        <v>4</v>
      </c>
      <c r="E55" s="689"/>
      <c r="F55" s="690">
        <v>1</v>
      </c>
      <c r="G55" s="691">
        <f t="shared" ref="G55:G57" si="3">(C55+D55+E55+F55)*0.625</f>
        <v>3.125</v>
      </c>
      <c r="H55" s="208"/>
      <c r="I55" s="693"/>
      <c r="J55" s="694"/>
      <c r="K55" s="693"/>
      <c r="L55" s="694"/>
      <c r="M55" s="693"/>
      <c r="N55" s="763">
        <f>8+23+6</f>
        <v>37</v>
      </c>
      <c r="O55" s="764">
        <f>3.316+4.869+1.932</f>
        <v>10.116999999999999</v>
      </c>
    </row>
    <row r="56" spans="1:15" s="90" customFormat="1" ht="18.75" customHeight="1" thickBot="1" x14ac:dyDescent="0.25">
      <c r="A56" s="213">
        <f t="shared" si="1"/>
        <v>48</v>
      </c>
      <c r="B56" s="206" t="s">
        <v>255</v>
      </c>
      <c r="C56" s="688"/>
      <c r="D56" s="207">
        <v>10</v>
      </c>
      <c r="E56" s="689"/>
      <c r="F56" s="690">
        <v>2</v>
      </c>
      <c r="G56" s="691">
        <f t="shared" si="3"/>
        <v>7.5</v>
      </c>
      <c r="H56" s="208" t="s">
        <v>256</v>
      </c>
      <c r="I56" s="693">
        <v>3</v>
      </c>
      <c r="J56" s="694"/>
      <c r="K56" s="693"/>
      <c r="L56" s="694"/>
      <c r="M56" s="693" t="s">
        <v>257</v>
      </c>
      <c r="N56" s="763">
        <v>16</v>
      </c>
      <c r="O56" s="764">
        <v>6.6550000000000002</v>
      </c>
    </row>
    <row r="57" spans="1:15" s="90" customFormat="1" ht="17.25" customHeight="1" thickBot="1" x14ac:dyDescent="0.25">
      <c r="A57" s="701"/>
      <c r="B57" s="702" t="s">
        <v>259</v>
      </c>
      <c r="C57" s="703">
        <f>SUM(C9:C56)</f>
        <v>10</v>
      </c>
      <c r="D57" s="703">
        <f>SUM(D9:D56)</f>
        <v>213</v>
      </c>
      <c r="E57" s="703">
        <f>SUM(E9:E56)</f>
        <v>5</v>
      </c>
      <c r="F57" s="704">
        <f>SUM(F9:F56)</f>
        <v>44</v>
      </c>
      <c r="G57" s="705">
        <f t="shared" si="3"/>
        <v>170</v>
      </c>
      <c r="H57" s="706"/>
      <c r="I57" s="707"/>
      <c r="J57" s="708"/>
      <c r="K57" s="707"/>
      <c r="L57" s="708"/>
      <c r="M57" s="707"/>
      <c r="N57" s="765">
        <f>SUM(N9:N56)</f>
        <v>647</v>
      </c>
      <c r="O57" s="630">
        <f>SUM(O9:O56)</f>
        <v>310.37500000000006</v>
      </c>
    </row>
    <row r="58" spans="1:15" s="90" customFormat="1" ht="28.5" hidden="1" customHeight="1" x14ac:dyDescent="0.2">
      <c r="A58" s="709"/>
      <c r="B58" s="710"/>
      <c r="C58" s="709">
        <f>562.86*C57</f>
        <v>5628.6</v>
      </c>
      <c r="D58" s="711">
        <f>285.56*D57</f>
        <v>60824.28</v>
      </c>
      <c r="E58" s="711">
        <f>568.76*E57</f>
        <v>2843.8</v>
      </c>
      <c r="F58" s="711">
        <f>344.56*F57</f>
        <v>15160.64</v>
      </c>
      <c r="G58" s="712"/>
      <c r="H58" s="713"/>
      <c r="I58" s="714"/>
      <c r="J58" s="715"/>
      <c r="K58" s="714"/>
      <c r="L58" s="715"/>
      <c r="M58" s="714"/>
      <c r="N58" s="767"/>
      <c r="O58" s="768"/>
    </row>
    <row r="59" spans="1:15" s="90" customFormat="1" ht="13.5" thickBot="1" x14ac:dyDescent="0.25">
      <c r="A59" s="701"/>
      <c r="B59" s="143" t="s">
        <v>198</v>
      </c>
      <c r="C59" s="703">
        <f>C57+D57+E57+F57</f>
        <v>272</v>
      </c>
      <c r="D59" s="716"/>
      <c r="E59" s="717"/>
      <c r="F59" s="718"/>
      <c r="G59" s="719"/>
      <c r="H59" s="720"/>
      <c r="I59" s="721"/>
      <c r="J59" s="722"/>
      <c r="K59" s="721"/>
      <c r="L59" s="722"/>
      <c r="M59" s="721"/>
      <c r="N59" s="769"/>
      <c r="O59" s="770"/>
    </row>
    <row r="60" spans="1:15" s="90" customFormat="1" ht="7.5" customHeight="1" x14ac:dyDescent="0.2">
      <c r="A60" s="709"/>
      <c r="B60" s="723"/>
      <c r="C60" s="723"/>
      <c r="D60" s="711"/>
      <c r="E60" s="723"/>
      <c r="F60" s="711"/>
      <c r="G60" s="711"/>
      <c r="H60" s="723"/>
      <c r="I60" s="714"/>
      <c r="J60" s="714"/>
      <c r="K60" s="714"/>
      <c r="L60" s="715"/>
      <c r="M60" s="714"/>
      <c r="N60" s="771"/>
      <c r="O60" s="772"/>
    </row>
    <row r="61" spans="1:15" s="90" customFormat="1" ht="13.5" thickBot="1" x14ac:dyDescent="0.25">
      <c r="A61" s="709"/>
      <c r="B61" s="723" t="s">
        <v>557</v>
      </c>
      <c r="C61" s="723"/>
      <c r="D61" s="711"/>
      <c r="E61" s="723"/>
      <c r="F61" s="711"/>
      <c r="G61" s="711"/>
      <c r="H61" s="723"/>
      <c r="I61" s="714"/>
      <c r="J61" s="714"/>
      <c r="K61" s="714"/>
      <c r="L61" s="715"/>
      <c r="M61" s="714"/>
      <c r="N61" s="773"/>
      <c r="O61" s="774"/>
    </row>
    <row r="62" spans="1:15" s="90" customFormat="1" ht="13.5" customHeight="1" thickBot="1" x14ac:dyDescent="0.25">
      <c r="A62" s="724" t="s">
        <v>6</v>
      </c>
      <c r="B62" s="725" t="s">
        <v>7</v>
      </c>
      <c r="C62" s="726" t="s">
        <v>201</v>
      </c>
      <c r="D62" s="758" t="s">
        <v>202</v>
      </c>
      <c r="E62" s="758" t="s">
        <v>203</v>
      </c>
      <c r="F62" s="759" t="s">
        <v>204</v>
      </c>
      <c r="G62" s="727" t="s">
        <v>260</v>
      </c>
      <c r="H62" s="728" t="s">
        <v>12</v>
      </c>
      <c r="I62" s="729" t="s">
        <v>206</v>
      </c>
      <c r="J62" s="730" t="s">
        <v>207</v>
      </c>
      <c r="K62" s="731" t="s">
        <v>208</v>
      </c>
      <c r="L62" s="730" t="s">
        <v>209</v>
      </c>
      <c r="M62" s="732"/>
      <c r="N62" s="733" t="s">
        <v>210</v>
      </c>
      <c r="O62" s="734"/>
    </row>
    <row r="63" spans="1:15" s="90" customFormat="1" ht="21.75" customHeight="1" thickBot="1" x14ac:dyDescent="0.25">
      <c r="A63" s="735"/>
      <c r="B63" s="736"/>
      <c r="C63" s="737"/>
      <c r="D63" s="760"/>
      <c r="E63" s="760"/>
      <c r="F63" s="761"/>
      <c r="G63" s="738"/>
      <c r="H63" s="739"/>
      <c r="I63" s="740" t="s">
        <v>211</v>
      </c>
      <c r="J63" s="741" t="s">
        <v>211</v>
      </c>
      <c r="K63" s="740" t="s">
        <v>211</v>
      </c>
      <c r="L63" s="741" t="s">
        <v>211</v>
      </c>
      <c r="M63" s="740" t="s">
        <v>212</v>
      </c>
      <c r="N63" s="742" t="s">
        <v>211</v>
      </c>
      <c r="O63" s="743" t="s">
        <v>213</v>
      </c>
    </row>
    <row r="64" spans="1:15" s="90" customFormat="1" x14ac:dyDescent="0.2">
      <c r="A64" s="213">
        <v>1</v>
      </c>
      <c r="B64" s="203" t="s">
        <v>262</v>
      </c>
      <c r="C64" s="695"/>
      <c r="D64" s="697"/>
      <c r="E64" s="697"/>
      <c r="F64" s="744"/>
      <c r="G64" s="691"/>
      <c r="H64" s="202"/>
      <c r="I64" s="745"/>
      <c r="J64" s="687"/>
      <c r="K64" s="686"/>
      <c r="L64" s="687"/>
      <c r="M64" s="686"/>
      <c r="N64" s="788">
        <v>2</v>
      </c>
      <c r="O64" s="789">
        <v>0.79800000000000004</v>
      </c>
    </row>
    <row r="65" spans="1:15" s="90" customFormat="1" x14ac:dyDescent="0.2">
      <c r="A65" s="213">
        <f t="shared" ref="A65:A82" si="4">A64+1</f>
        <v>2</v>
      </c>
      <c r="B65" s="205" t="s">
        <v>30</v>
      </c>
      <c r="C65" s="692"/>
      <c r="D65" s="207"/>
      <c r="E65" s="207"/>
      <c r="F65" s="690"/>
      <c r="G65" s="691"/>
      <c r="H65" s="202"/>
      <c r="I65" s="745">
        <v>1</v>
      </c>
      <c r="J65" s="687"/>
      <c r="K65" s="686">
        <v>1</v>
      </c>
      <c r="L65" s="687"/>
      <c r="M65" s="686"/>
      <c r="N65" s="786">
        <v>3</v>
      </c>
      <c r="O65" s="783">
        <v>1.319</v>
      </c>
    </row>
    <row r="66" spans="1:15" s="90" customFormat="1" x14ac:dyDescent="0.2">
      <c r="A66" s="213">
        <f t="shared" si="4"/>
        <v>3</v>
      </c>
      <c r="B66" s="205" t="s">
        <v>31</v>
      </c>
      <c r="C66" s="692"/>
      <c r="D66" s="207"/>
      <c r="E66" s="207"/>
      <c r="F66" s="690"/>
      <c r="G66" s="691"/>
      <c r="H66" s="202"/>
      <c r="I66" s="745"/>
      <c r="J66" s="687"/>
      <c r="K66" s="686"/>
      <c r="L66" s="687"/>
      <c r="M66" s="686"/>
      <c r="N66" s="786">
        <v>8</v>
      </c>
      <c r="O66" s="783">
        <v>3.57</v>
      </c>
    </row>
    <row r="67" spans="1:15" s="90" customFormat="1" x14ac:dyDescent="0.2">
      <c r="A67" s="213">
        <f t="shared" si="4"/>
        <v>4</v>
      </c>
      <c r="B67" s="214" t="s">
        <v>263</v>
      </c>
      <c r="C67" s="688"/>
      <c r="D67" s="689"/>
      <c r="E67" s="689"/>
      <c r="F67" s="690"/>
      <c r="G67" s="691"/>
      <c r="H67" s="202"/>
      <c r="I67" s="745"/>
      <c r="J67" s="687"/>
      <c r="K67" s="686"/>
      <c r="L67" s="687"/>
      <c r="M67" s="686"/>
      <c r="N67" s="786">
        <v>3</v>
      </c>
      <c r="O67" s="790">
        <v>0.96599999999999997</v>
      </c>
    </row>
    <row r="68" spans="1:15" s="90" customFormat="1" x14ac:dyDescent="0.2">
      <c r="A68" s="213">
        <f t="shared" si="4"/>
        <v>5</v>
      </c>
      <c r="B68" s="204" t="s">
        <v>264</v>
      </c>
      <c r="C68" s="688"/>
      <c r="D68" s="689"/>
      <c r="E68" s="689"/>
      <c r="F68" s="690"/>
      <c r="G68" s="691"/>
      <c r="H68" s="202"/>
      <c r="I68" s="745">
        <v>2</v>
      </c>
      <c r="J68" s="687"/>
      <c r="K68" s="686"/>
      <c r="L68" s="687"/>
      <c r="M68" s="686"/>
      <c r="N68" s="786">
        <f>9+4</f>
        <v>13</v>
      </c>
      <c r="O68" s="790">
        <f>5.543+1.288</f>
        <v>6.8310000000000004</v>
      </c>
    </row>
    <row r="69" spans="1:15" s="90" customFormat="1" x14ac:dyDescent="0.2">
      <c r="A69" s="213">
        <f t="shared" si="4"/>
        <v>6</v>
      </c>
      <c r="B69" s="205" t="s">
        <v>265</v>
      </c>
      <c r="C69" s="688"/>
      <c r="D69" s="689"/>
      <c r="E69" s="689"/>
      <c r="F69" s="690"/>
      <c r="G69" s="691"/>
      <c r="H69" s="202"/>
      <c r="I69" s="745"/>
      <c r="J69" s="687"/>
      <c r="K69" s="686"/>
      <c r="L69" s="687"/>
      <c r="M69" s="686"/>
      <c r="N69" s="786">
        <v>9</v>
      </c>
      <c r="O69" s="790">
        <v>3.782</v>
      </c>
    </row>
    <row r="70" spans="1:15" s="90" customFormat="1" x14ac:dyDescent="0.2">
      <c r="A70" s="213">
        <f t="shared" si="4"/>
        <v>7</v>
      </c>
      <c r="B70" s="205" t="s">
        <v>266</v>
      </c>
      <c r="C70" s="688"/>
      <c r="D70" s="689"/>
      <c r="E70" s="689"/>
      <c r="F70" s="690"/>
      <c r="G70" s="691"/>
      <c r="H70" s="202"/>
      <c r="I70" s="745"/>
      <c r="J70" s="687"/>
      <c r="K70" s="686"/>
      <c r="L70" s="687"/>
      <c r="M70" s="686"/>
      <c r="N70" s="786">
        <v>6</v>
      </c>
      <c r="O70" s="790">
        <v>2.6379999999999999</v>
      </c>
    </row>
    <row r="71" spans="1:15" s="90" customFormat="1" x14ac:dyDescent="0.2">
      <c r="A71" s="213">
        <f t="shared" si="4"/>
        <v>8</v>
      </c>
      <c r="B71" s="205" t="s">
        <v>45</v>
      </c>
      <c r="C71" s="692"/>
      <c r="D71" s="207"/>
      <c r="E71" s="207"/>
      <c r="F71" s="690"/>
      <c r="G71" s="691"/>
      <c r="H71" s="202"/>
      <c r="I71" s="745">
        <v>10</v>
      </c>
      <c r="J71" s="687"/>
      <c r="K71" s="686">
        <v>3</v>
      </c>
      <c r="L71" s="687"/>
      <c r="M71" s="686"/>
      <c r="N71" s="786">
        <v>9</v>
      </c>
      <c r="O71" s="783">
        <v>2.903</v>
      </c>
    </row>
    <row r="72" spans="1:15" s="90" customFormat="1" x14ac:dyDescent="0.2">
      <c r="A72" s="213">
        <f t="shared" si="4"/>
        <v>9</v>
      </c>
      <c r="B72" s="205" t="s">
        <v>267</v>
      </c>
      <c r="C72" s="692"/>
      <c r="D72" s="207"/>
      <c r="E72" s="207"/>
      <c r="F72" s="690"/>
      <c r="G72" s="691"/>
      <c r="H72" s="202"/>
      <c r="I72" s="745">
        <v>4</v>
      </c>
      <c r="J72" s="687"/>
      <c r="K72" s="686"/>
      <c r="L72" s="687"/>
      <c r="M72" s="686"/>
      <c r="N72" s="786">
        <f>4+5</f>
        <v>9</v>
      </c>
      <c r="O72" s="783">
        <f>1.686+1.61</f>
        <v>3.2960000000000003</v>
      </c>
    </row>
    <row r="73" spans="1:15" s="90" customFormat="1" x14ac:dyDescent="0.2">
      <c r="A73" s="213">
        <f t="shared" si="4"/>
        <v>10</v>
      </c>
      <c r="B73" s="205" t="s">
        <v>268</v>
      </c>
      <c r="C73" s="692"/>
      <c r="D73" s="207"/>
      <c r="E73" s="207"/>
      <c r="F73" s="690"/>
      <c r="G73" s="691"/>
      <c r="H73" s="202"/>
      <c r="I73" s="745"/>
      <c r="J73" s="687"/>
      <c r="K73" s="686"/>
      <c r="L73" s="687"/>
      <c r="M73" s="686"/>
      <c r="N73" s="786">
        <v>8</v>
      </c>
      <c r="O73" s="783">
        <v>3.5179999999999998</v>
      </c>
    </row>
    <row r="74" spans="1:15" s="90" customFormat="1" x14ac:dyDescent="0.2">
      <c r="A74" s="213">
        <f t="shared" si="4"/>
        <v>11</v>
      </c>
      <c r="B74" s="205" t="s">
        <v>170</v>
      </c>
      <c r="C74" s="692"/>
      <c r="D74" s="207"/>
      <c r="E74" s="207"/>
      <c r="F74" s="690"/>
      <c r="G74" s="691"/>
      <c r="H74" s="202"/>
      <c r="I74" s="745"/>
      <c r="J74" s="687"/>
      <c r="K74" s="686"/>
      <c r="L74" s="687"/>
      <c r="M74" s="686"/>
      <c r="N74" s="786">
        <v>9</v>
      </c>
      <c r="O74" s="783">
        <v>4.0620000000000003</v>
      </c>
    </row>
    <row r="75" spans="1:15" s="90" customFormat="1" x14ac:dyDescent="0.2">
      <c r="A75" s="213">
        <f t="shared" si="4"/>
        <v>12</v>
      </c>
      <c r="B75" s="205" t="s">
        <v>74</v>
      </c>
      <c r="C75" s="692"/>
      <c r="D75" s="207"/>
      <c r="E75" s="207"/>
      <c r="F75" s="690"/>
      <c r="G75" s="691"/>
      <c r="H75" s="202"/>
      <c r="I75" s="745"/>
      <c r="J75" s="687"/>
      <c r="K75" s="686"/>
      <c r="L75" s="687"/>
      <c r="M75" s="686"/>
      <c r="N75" s="786">
        <v>12</v>
      </c>
      <c r="O75" s="783">
        <v>3.3620000000000001</v>
      </c>
    </row>
    <row r="76" spans="1:15" s="90" customFormat="1" x14ac:dyDescent="0.2">
      <c r="A76" s="213">
        <f t="shared" si="4"/>
        <v>13</v>
      </c>
      <c r="B76" s="210" t="s">
        <v>84</v>
      </c>
      <c r="C76" s="746"/>
      <c r="D76" s="747"/>
      <c r="E76" s="747"/>
      <c r="F76" s="748"/>
      <c r="G76" s="749"/>
      <c r="H76" s="202"/>
      <c r="I76" s="745"/>
      <c r="J76" s="687"/>
      <c r="K76" s="686"/>
      <c r="L76" s="687"/>
      <c r="M76" s="686"/>
      <c r="N76" s="787">
        <v>5</v>
      </c>
      <c r="O76" s="791">
        <v>2.052</v>
      </c>
    </row>
    <row r="77" spans="1:15" s="90" customFormat="1" x14ac:dyDescent="0.2">
      <c r="A77" s="213">
        <f t="shared" si="4"/>
        <v>14</v>
      </c>
      <c r="B77" s="210" t="s">
        <v>128</v>
      </c>
      <c r="C77" s="746"/>
      <c r="D77" s="747"/>
      <c r="E77" s="747"/>
      <c r="F77" s="748"/>
      <c r="G77" s="749"/>
      <c r="H77" s="202"/>
      <c r="I77" s="745"/>
      <c r="J77" s="687"/>
      <c r="K77" s="686"/>
      <c r="L77" s="687"/>
      <c r="M77" s="686"/>
      <c r="N77" s="787">
        <v>3</v>
      </c>
      <c r="O77" s="791">
        <v>1.319</v>
      </c>
    </row>
    <row r="78" spans="1:15" s="90" customFormat="1" x14ac:dyDescent="0.2">
      <c r="A78" s="213">
        <f t="shared" si="4"/>
        <v>15</v>
      </c>
      <c r="B78" s="215" t="s">
        <v>86</v>
      </c>
      <c r="C78" s="746"/>
      <c r="D78" s="747"/>
      <c r="E78" s="747"/>
      <c r="F78" s="748"/>
      <c r="G78" s="749"/>
      <c r="H78" s="202"/>
      <c r="I78" s="745"/>
      <c r="J78" s="687"/>
      <c r="K78" s="686"/>
      <c r="L78" s="687"/>
      <c r="M78" s="686"/>
      <c r="N78" s="787">
        <v>4</v>
      </c>
      <c r="O78" s="791">
        <f>0.829+0.798</f>
        <v>1.627</v>
      </c>
    </row>
    <row r="79" spans="1:15" s="90" customFormat="1" x14ac:dyDescent="0.2">
      <c r="A79" s="213">
        <f t="shared" si="4"/>
        <v>16</v>
      </c>
      <c r="B79" s="216" t="s">
        <v>133</v>
      </c>
      <c r="C79" s="746"/>
      <c r="D79" s="747"/>
      <c r="E79" s="747"/>
      <c r="F79" s="748"/>
      <c r="G79" s="749"/>
      <c r="H79" s="202"/>
      <c r="I79" s="745"/>
      <c r="J79" s="687"/>
      <c r="K79" s="686"/>
      <c r="L79" s="687"/>
      <c r="M79" s="686"/>
      <c r="N79" s="787">
        <v>10</v>
      </c>
      <c r="O79" s="791">
        <v>3.927</v>
      </c>
    </row>
    <row r="80" spans="1:15" s="90" customFormat="1" x14ac:dyDescent="0.2">
      <c r="A80" s="213">
        <f t="shared" si="4"/>
        <v>17</v>
      </c>
      <c r="B80" s="215" t="s">
        <v>134</v>
      </c>
      <c r="C80" s="746"/>
      <c r="D80" s="747"/>
      <c r="E80" s="747"/>
      <c r="F80" s="748"/>
      <c r="G80" s="749"/>
      <c r="H80" s="202"/>
      <c r="I80" s="745"/>
      <c r="J80" s="687"/>
      <c r="K80" s="686"/>
      <c r="L80" s="687"/>
      <c r="M80" s="686"/>
      <c r="N80" s="787">
        <v>5</v>
      </c>
      <c r="O80" s="791">
        <v>1.9950000000000001</v>
      </c>
    </row>
    <row r="81" spans="1:15" s="90" customFormat="1" x14ac:dyDescent="0.2">
      <c r="A81" s="213">
        <f t="shared" si="4"/>
        <v>18</v>
      </c>
      <c r="B81" s="216" t="s">
        <v>261</v>
      </c>
      <c r="C81" s="746"/>
      <c r="D81" s="217"/>
      <c r="E81" s="747"/>
      <c r="F81" s="748"/>
      <c r="G81" s="749"/>
      <c r="H81" s="202"/>
      <c r="I81" s="745"/>
      <c r="J81" s="687"/>
      <c r="K81" s="686"/>
      <c r="L81" s="687">
        <v>8</v>
      </c>
      <c r="M81" s="686"/>
      <c r="N81" s="787">
        <v>32</v>
      </c>
      <c r="O81" s="791">
        <v>21.091000000000001</v>
      </c>
    </row>
    <row r="82" spans="1:15" s="90" customFormat="1" ht="13.5" thickBot="1" x14ac:dyDescent="0.25">
      <c r="A82" s="213">
        <f t="shared" si="4"/>
        <v>19</v>
      </c>
      <c r="B82" s="216" t="s">
        <v>270</v>
      </c>
      <c r="C82" s="750"/>
      <c r="D82" s="217"/>
      <c r="E82" s="217"/>
      <c r="F82" s="748"/>
      <c r="G82" s="749"/>
      <c r="H82" s="202"/>
      <c r="I82" s="745"/>
      <c r="J82" s="687"/>
      <c r="K82" s="686"/>
      <c r="L82" s="687"/>
      <c r="M82" s="686"/>
      <c r="N82" s="787">
        <v>3</v>
      </c>
      <c r="O82" s="785">
        <v>1.2310000000000001</v>
      </c>
    </row>
    <row r="83" spans="1:15" s="90" customFormat="1" ht="13.5" thickBot="1" x14ac:dyDescent="0.25">
      <c r="A83" s="99"/>
      <c r="B83" s="751" t="s">
        <v>558</v>
      </c>
      <c r="C83" s="751"/>
      <c r="D83" s="752"/>
      <c r="E83" s="751"/>
      <c r="F83" s="752"/>
      <c r="G83" s="752"/>
      <c r="H83" s="751"/>
      <c r="I83" s="753"/>
      <c r="J83" s="754"/>
      <c r="K83" s="755"/>
      <c r="L83" s="754"/>
      <c r="M83" s="755"/>
      <c r="N83" s="778">
        <f>SUM(N64:N82)</f>
        <v>153</v>
      </c>
      <c r="O83" s="779">
        <f>SUM(O64:O82)</f>
        <v>70.286999999999992</v>
      </c>
    </row>
    <row r="84" spans="1:15" s="90" customFormat="1" ht="13.5" thickBot="1" x14ac:dyDescent="0.25">
      <c r="A84" s="99"/>
      <c r="B84" s="751" t="s">
        <v>575</v>
      </c>
      <c r="C84" s="751"/>
      <c r="D84" s="752"/>
      <c r="E84" s="751"/>
      <c r="F84" s="752"/>
      <c r="G84" s="752"/>
      <c r="H84" s="751"/>
      <c r="I84" s="755"/>
      <c r="J84" s="755"/>
      <c r="K84" s="755"/>
      <c r="L84" s="754"/>
      <c r="M84" s="755"/>
      <c r="N84" s="778">
        <f>N57+N83</f>
        <v>800</v>
      </c>
      <c r="O84" s="779">
        <f>O57+O83</f>
        <v>380.66200000000003</v>
      </c>
    </row>
    <row r="85" spans="1:15" s="90" customFormat="1" x14ac:dyDescent="0.2">
      <c r="A85" s="116"/>
      <c r="D85" s="116"/>
      <c r="F85" s="116"/>
      <c r="G85" s="116"/>
      <c r="N85" s="780"/>
      <c r="O85" s="780"/>
    </row>
    <row r="86" spans="1:15" s="90" customFormat="1" x14ac:dyDescent="0.2">
      <c r="A86" s="116"/>
      <c r="D86" s="116"/>
      <c r="F86" s="116"/>
      <c r="G86" s="116"/>
      <c r="N86" s="780"/>
      <c r="O86" s="780"/>
    </row>
    <row r="87" spans="1:15" s="90" customFormat="1" x14ac:dyDescent="0.2">
      <c r="A87" s="116"/>
      <c r="D87" s="116"/>
      <c r="F87" s="116"/>
      <c r="G87" s="116"/>
      <c r="N87" s="780"/>
      <c r="O87" s="780"/>
    </row>
    <row r="88" spans="1:15" s="90" customFormat="1" x14ac:dyDescent="0.2">
      <c r="A88" s="116"/>
      <c r="D88" s="116"/>
      <c r="F88" s="116"/>
      <c r="G88" s="116"/>
      <c r="N88" s="780"/>
      <c r="O88" s="780"/>
    </row>
    <row r="89" spans="1:15" s="90" customFormat="1" x14ac:dyDescent="0.2">
      <c r="A89" s="116"/>
      <c r="D89" s="116"/>
      <c r="F89" s="116"/>
      <c r="G89" s="116"/>
      <c r="N89" s="780"/>
      <c r="O89" s="780"/>
    </row>
    <row r="90" spans="1:15" s="90" customFormat="1" x14ac:dyDescent="0.2">
      <c r="A90" s="116"/>
      <c r="D90" s="116"/>
      <c r="F90" s="116"/>
      <c r="G90" s="116"/>
      <c r="N90" s="780"/>
      <c r="O90" s="780"/>
    </row>
    <row r="91" spans="1:15" s="90" customFormat="1" x14ac:dyDescent="0.2">
      <c r="A91" s="116"/>
      <c r="D91" s="116"/>
      <c r="F91" s="116"/>
      <c r="G91" s="116"/>
      <c r="N91" s="780"/>
      <c r="O91" s="780"/>
    </row>
    <row r="92" spans="1:15" s="90" customFormat="1" x14ac:dyDescent="0.2">
      <c r="A92" s="116"/>
      <c r="D92" s="116"/>
      <c r="F92" s="116"/>
      <c r="G92" s="116"/>
      <c r="N92" s="780"/>
      <c r="O92" s="780"/>
    </row>
    <row r="93" spans="1:15" s="90" customFormat="1" x14ac:dyDescent="0.2">
      <c r="A93" s="116"/>
      <c r="D93" s="116"/>
      <c r="F93" s="116"/>
      <c r="G93" s="116"/>
      <c r="N93" s="780"/>
      <c r="O93" s="780"/>
    </row>
    <row r="94" spans="1:15" s="90" customFormat="1" x14ac:dyDescent="0.2">
      <c r="A94" s="116"/>
      <c r="D94" s="116"/>
      <c r="F94" s="116"/>
      <c r="G94" s="116"/>
      <c r="N94" s="780"/>
      <c r="O94" s="780"/>
    </row>
    <row r="95" spans="1:15" s="90" customFormat="1" x14ac:dyDescent="0.2">
      <c r="A95" s="116"/>
      <c r="D95" s="116"/>
      <c r="F95" s="116"/>
      <c r="G95" s="116"/>
      <c r="N95" s="780"/>
      <c r="O95" s="780"/>
    </row>
    <row r="96" spans="1:15" s="90" customFormat="1" x14ac:dyDescent="0.2">
      <c r="A96" s="116"/>
      <c r="D96" s="116"/>
      <c r="F96" s="116"/>
      <c r="G96" s="116"/>
      <c r="N96" s="780"/>
      <c r="O96" s="780"/>
    </row>
    <row r="97" spans="1:15" s="90" customFormat="1" x14ac:dyDescent="0.2">
      <c r="A97" s="116"/>
      <c r="D97" s="116"/>
      <c r="F97" s="116"/>
      <c r="G97" s="116"/>
      <c r="N97" s="780"/>
      <c r="O97" s="780"/>
    </row>
    <row r="98" spans="1:15" s="90" customFormat="1" x14ac:dyDescent="0.2">
      <c r="A98" s="116"/>
      <c r="D98" s="116"/>
      <c r="F98" s="116"/>
      <c r="G98" s="116"/>
      <c r="N98" s="780"/>
      <c r="O98" s="780"/>
    </row>
    <row r="99" spans="1:15" s="90" customFormat="1" x14ac:dyDescent="0.2">
      <c r="A99" s="116"/>
      <c r="D99" s="116"/>
      <c r="F99" s="116"/>
      <c r="G99" s="116"/>
      <c r="N99" s="780"/>
      <c r="O99" s="780"/>
    </row>
    <row r="100" spans="1:15" s="90" customFormat="1" x14ac:dyDescent="0.2">
      <c r="A100" s="116"/>
      <c r="D100" s="116"/>
      <c r="F100" s="116"/>
      <c r="G100" s="116"/>
      <c r="N100" s="780"/>
      <c r="O100" s="780"/>
    </row>
    <row r="101" spans="1:15" s="90" customFormat="1" x14ac:dyDescent="0.2">
      <c r="A101" s="116"/>
      <c r="D101" s="116"/>
      <c r="F101" s="116"/>
      <c r="G101" s="116"/>
      <c r="N101" s="780"/>
      <c r="O101" s="780"/>
    </row>
    <row r="102" spans="1:15" s="90" customFormat="1" x14ac:dyDescent="0.2">
      <c r="A102" s="116"/>
      <c r="D102" s="116"/>
      <c r="F102" s="116"/>
      <c r="G102" s="116"/>
      <c r="N102" s="780"/>
      <c r="O102" s="780"/>
    </row>
    <row r="103" spans="1:15" s="90" customFormat="1" x14ac:dyDescent="0.2">
      <c r="A103" s="116"/>
      <c r="D103" s="116"/>
      <c r="F103" s="116"/>
      <c r="G103" s="116"/>
      <c r="N103" s="780"/>
      <c r="O103" s="780"/>
    </row>
    <row r="104" spans="1:15" s="90" customFormat="1" x14ac:dyDescent="0.2">
      <c r="A104" s="116"/>
      <c r="D104" s="116"/>
      <c r="F104" s="116"/>
      <c r="G104" s="116"/>
      <c r="N104" s="780"/>
      <c r="O104" s="780"/>
    </row>
    <row r="105" spans="1:15" s="90" customFormat="1" x14ac:dyDescent="0.2">
      <c r="A105" s="116"/>
      <c r="D105" s="116"/>
      <c r="F105" s="116"/>
      <c r="G105" s="116"/>
      <c r="N105" s="780"/>
      <c r="O105" s="780"/>
    </row>
    <row r="106" spans="1:15" s="90" customFormat="1" x14ac:dyDescent="0.2">
      <c r="A106" s="116"/>
      <c r="D106" s="116"/>
      <c r="F106" s="116"/>
      <c r="G106" s="116"/>
      <c r="N106" s="780"/>
      <c r="O106" s="780"/>
    </row>
    <row r="107" spans="1:15" s="90" customFormat="1" x14ac:dyDescent="0.2">
      <c r="A107" s="116"/>
      <c r="D107" s="116"/>
      <c r="F107" s="116"/>
      <c r="G107" s="116"/>
      <c r="N107" s="780"/>
      <c r="O107" s="780"/>
    </row>
    <row r="108" spans="1:15" s="90" customFormat="1" x14ac:dyDescent="0.2">
      <c r="A108" s="116"/>
      <c r="D108" s="116"/>
      <c r="F108" s="116"/>
      <c r="G108" s="116"/>
      <c r="N108" s="780"/>
      <c r="O108" s="780"/>
    </row>
    <row r="109" spans="1:15" s="90" customFormat="1" x14ac:dyDescent="0.2">
      <c r="A109" s="116"/>
      <c r="D109" s="116"/>
      <c r="F109" s="116"/>
      <c r="G109" s="116"/>
      <c r="N109" s="780"/>
      <c r="O109" s="780"/>
    </row>
    <row r="110" spans="1:15" s="90" customFormat="1" x14ac:dyDescent="0.2">
      <c r="A110" s="116"/>
      <c r="D110" s="116"/>
      <c r="F110" s="116"/>
      <c r="G110" s="116"/>
      <c r="N110" s="780"/>
      <c r="O110" s="780"/>
    </row>
    <row r="111" spans="1:15" s="90" customFormat="1" x14ac:dyDescent="0.2">
      <c r="A111" s="116"/>
      <c r="D111" s="116"/>
      <c r="F111" s="116"/>
      <c r="G111" s="116"/>
      <c r="N111" s="780"/>
      <c r="O111" s="780"/>
    </row>
    <row r="112" spans="1:15" s="90" customFormat="1" x14ac:dyDescent="0.2">
      <c r="A112" s="116"/>
      <c r="D112" s="116"/>
      <c r="F112" s="116"/>
      <c r="G112" s="116"/>
      <c r="N112" s="780"/>
      <c r="O112" s="780"/>
    </row>
    <row r="113" spans="1:15" s="90" customFormat="1" x14ac:dyDescent="0.2">
      <c r="A113" s="116"/>
      <c r="D113" s="116"/>
      <c r="F113" s="116"/>
      <c r="G113" s="116"/>
      <c r="N113" s="780"/>
      <c r="O113" s="780"/>
    </row>
    <row r="114" spans="1:15" s="90" customFormat="1" x14ac:dyDescent="0.2">
      <c r="A114" s="116"/>
      <c r="D114" s="116"/>
      <c r="F114" s="116"/>
      <c r="G114" s="116"/>
      <c r="N114" s="780"/>
      <c r="O114" s="780"/>
    </row>
    <row r="115" spans="1:15" s="90" customFormat="1" x14ac:dyDescent="0.2">
      <c r="A115" s="116"/>
      <c r="D115" s="116"/>
      <c r="F115" s="116"/>
      <c r="G115" s="116"/>
      <c r="N115" s="780"/>
      <c r="O115" s="780"/>
    </row>
    <row r="116" spans="1:15" s="90" customFormat="1" x14ac:dyDescent="0.2">
      <c r="A116" s="116"/>
      <c r="D116" s="116"/>
      <c r="F116" s="116"/>
      <c r="G116" s="116"/>
      <c r="N116" s="780"/>
      <c r="O116" s="780"/>
    </row>
    <row r="117" spans="1:15" s="90" customFormat="1" x14ac:dyDescent="0.2">
      <c r="A117" s="116"/>
      <c r="D117" s="116"/>
      <c r="F117" s="116"/>
      <c r="G117" s="116"/>
      <c r="N117" s="780"/>
      <c r="O117" s="780"/>
    </row>
    <row r="118" spans="1:15" s="90" customFormat="1" x14ac:dyDescent="0.2">
      <c r="A118" s="116"/>
      <c r="D118" s="116"/>
      <c r="F118" s="116"/>
      <c r="G118" s="116"/>
      <c r="N118" s="780"/>
      <c r="O118" s="780"/>
    </row>
    <row r="119" spans="1:15" s="90" customFormat="1" x14ac:dyDescent="0.2">
      <c r="A119" s="116"/>
      <c r="D119" s="116"/>
      <c r="F119" s="116"/>
      <c r="G119" s="116"/>
      <c r="N119" s="780"/>
      <c r="O119" s="780"/>
    </row>
    <row r="120" spans="1:15" s="90" customFormat="1" x14ac:dyDescent="0.2">
      <c r="A120" s="116"/>
      <c r="D120" s="116"/>
      <c r="F120" s="116"/>
      <c r="G120" s="116"/>
      <c r="N120" s="780"/>
      <c r="O120" s="780"/>
    </row>
    <row r="121" spans="1:15" s="90" customFormat="1" x14ac:dyDescent="0.2">
      <c r="A121" s="116"/>
      <c r="D121" s="116"/>
      <c r="F121" s="116"/>
      <c r="G121" s="116"/>
      <c r="N121" s="780"/>
      <c r="O121" s="780"/>
    </row>
    <row r="122" spans="1:15" s="90" customFormat="1" x14ac:dyDescent="0.2">
      <c r="A122" s="116"/>
      <c r="D122" s="116"/>
      <c r="F122" s="116"/>
      <c r="G122" s="116"/>
      <c r="N122" s="780"/>
      <c r="O122" s="780"/>
    </row>
    <row r="123" spans="1:15" s="90" customFormat="1" x14ac:dyDescent="0.2">
      <c r="A123" s="116"/>
      <c r="D123" s="116"/>
      <c r="F123" s="116"/>
      <c r="G123" s="116"/>
      <c r="N123" s="780"/>
      <c r="O123" s="780"/>
    </row>
    <row r="124" spans="1:15" s="90" customFormat="1" x14ac:dyDescent="0.2">
      <c r="A124" s="116"/>
      <c r="D124" s="116"/>
      <c r="F124" s="116"/>
      <c r="G124" s="116"/>
    </row>
    <row r="125" spans="1:15" s="90" customFormat="1" x14ac:dyDescent="0.2">
      <c r="A125" s="116"/>
      <c r="D125" s="116"/>
      <c r="F125" s="116"/>
      <c r="G125" s="116"/>
    </row>
    <row r="126" spans="1:15" s="90" customFormat="1" x14ac:dyDescent="0.2">
      <c r="A126" s="116"/>
      <c r="D126" s="116"/>
      <c r="F126" s="116"/>
      <c r="G126" s="116"/>
    </row>
    <row r="127" spans="1:15" s="90" customFormat="1" x14ac:dyDescent="0.2">
      <c r="A127" s="116"/>
      <c r="D127" s="116"/>
      <c r="F127" s="116"/>
      <c r="G127" s="116"/>
    </row>
    <row r="128" spans="1:15" s="90" customFormat="1" x14ac:dyDescent="0.2">
      <c r="A128" s="116"/>
      <c r="D128" s="116"/>
      <c r="F128" s="116"/>
      <c r="G128" s="116"/>
    </row>
    <row r="129" spans="1:7" s="90" customFormat="1" x14ac:dyDescent="0.2">
      <c r="A129" s="116"/>
      <c r="D129" s="116"/>
      <c r="F129" s="116"/>
      <c r="G129" s="116"/>
    </row>
    <row r="130" spans="1:7" s="90" customFormat="1" x14ac:dyDescent="0.2">
      <c r="A130" s="116"/>
      <c r="D130" s="116"/>
      <c r="F130" s="116"/>
      <c r="G130" s="116"/>
    </row>
    <row r="131" spans="1:7" s="90" customFormat="1" x14ac:dyDescent="0.2">
      <c r="A131" s="116"/>
      <c r="D131" s="116"/>
      <c r="F131" s="116"/>
      <c r="G131" s="116"/>
    </row>
    <row r="132" spans="1:7" s="90" customFormat="1" x14ac:dyDescent="0.2">
      <c r="A132" s="116"/>
      <c r="D132" s="116"/>
      <c r="F132" s="116"/>
      <c r="G132" s="116"/>
    </row>
    <row r="133" spans="1:7" s="90" customFormat="1" x14ac:dyDescent="0.2">
      <c r="A133" s="116"/>
      <c r="D133" s="116"/>
      <c r="F133" s="116"/>
      <c r="G133" s="116"/>
    </row>
    <row r="134" spans="1:7" s="90" customFormat="1" x14ac:dyDescent="0.2">
      <c r="A134" s="116"/>
      <c r="D134" s="116"/>
      <c r="F134" s="116"/>
      <c r="G134" s="116"/>
    </row>
    <row r="135" spans="1:7" s="90" customFormat="1" x14ac:dyDescent="0.2">
      <c r="A135" s="116"/>
      <c r="D135" s="116"/>
      <c r="F135" s="116"/>
      <c r="G135" s="116"/>
    </row>
  </sheetData>
  <mergeCells count="17">
    <mergeCell ref="E1:H1"/>
    <mergeCell ref="B3:F4"/>
    <mergeCell ref="A5:A7"/>
    <mergeCell ref="B5:B7"/>
    <mergeCell ref="H5:H7"/>
    <mergeCell ref="C5:G5"/>
    <mergeCell ref="G6:G7"/>
    <mergeCell ref="A62:A63"/>
    <mergeCell ref="B62:B63"/>
    <mergeCell ref="C62:C63"/>
    <mergeCell ref="D62:D63"/>
    <mergeCell ref="E62:E63"/>
    <mergeCell ref="F62:F63"/>
    <mergeCell ref="G62:G63"/>
    <mergeCell ref="H62:H63"/>
    <mergeCell ref="N62:O62"/>
    <mergeCell ref="N5:O6"/>
  </mergeCells>
  <pageMargins left="0.55118110236220474" right="0.55118110236220474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E6"/>
  <sheetViews>
    <sheetView workbookViewId="0">
      <selection activeCell="D23" sqref="D23"/>
    </sheetView>
  </sheetViews>
  <sheetFormatPr defaultRowHeight="12.75" x14ac:dyDescent="0.2"/>
  <cols>
    <col min="2" max="2" width="5.7109375" customWidth="1"/>
    <col min="3" max="3" width="33.85546875" customWidth="1"/>
    <col min="4" max="4" width="10.42578125" customWidth="1"/>
  </cols>
  <sheetData>
    <row r="2" spans="2:5" ht="13.5" thickBot="1" x14ac:dyDescent="0.25"/>
    <row r="3" spans="2:5" ht="14.25" customHeight="1" x14ac:dyDescent="0.2">
      <c r="B3" s="446" t="s">
        <v>271</v>
      </c>
      <c r="C3" s="448" t="s">
        <v>272</v>
      </c>
      <c r="D3" s="218" t="s">
        <v>273</v>
      </c>
      <c r="E3" s="219">
        <f>SUM(E5:E6)</f>
        <v>7.77738</v>
      </c>
    </row>
    <row r="4" spans="2:5" ht="15" thickBot="1" x14ac:dyDescent="0.25">
      <c r="B4" s="447"/>
      <c r="C4" s="449"/>
      <c r="D4" s="220" t="s">
        <v>274</v>
      </c>
      <c r="E4" s="221">
        <f>SUM(D5:D6)</f>
        <v>1.9E-2</v>
      </c>
    </row>
    <row r="5" spans="2:5" x14ac:dyDescent="0.2">
      <c r="B5" s="222">
        <v>1</v>
      </c>
      <c r="C5" s="223" t="s">
        <v>159</v>
      </c>
      <c r="D5" s="224">
        <v>8.9999999999999993E-3</v>
      </c>
      <c r="E5" s="225">
        <v>1.6590800000000001</v>
      </c>
    </row>
    <row r="6" spans="2:5" ht="13.5" thickBot="1" x14ac:dyDescent="0.25">
      <c r="B6" s="226"/>
      <c r="C6" s="227" t="s">
        <v>275</v>
      </c>
      <c r="D6" s="228">
        <v>0.01</v>
      </c>
      <c r="E6" s="229">
        <v>6.1182999999999996</v>
      </c>
    </row>
  </sheetData>
  <mergeCells count="2">
    <mergeCell ref="B3:B4"/>
    <mergeCell ref="C3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82"/>
  <sheetViews>
    <sheetView topLeftCell="A150" workbookViewId="0">
      <selection activeCell="C112" sqref="C112"/>
    </sheetView>
  </sheetViews>
  <sheetFormatPr defaultRowHeight="12.75" x14ac:dyDescent="0.2"/>
  <cols>
    <col min="1" max="1" width="6.7109375" customWidth="1"/>
    <col min="2" max="2" width="5.5703125" customWidth="1"/>
    <col min="3" max="3" width="41.42578125" customWidth="1"/>
    <col min="4" max="4" width="10.85546875" customWidth="1"/>
    <col min="5" max="5" width="11.28515625" customWidth="1"/>
  </cols>
  <sheetData>
    <row r="1" spans="1:6" hidden="1" x14ac:dyDescent="0.2"/>
    <row r="2" spans="1:6" ht="15.75" hidden="1" x14ac:dyDescent="0.25">
      <c r="C2" s="230"/>
      <c r="D2" s="231"/>
      <c r="E2" s="232"/>
    </row>
    <row r="3" spans="1:6" ht="15.75" hidden="1" x14ac:dyDescent="0.25">
      <c r="C3" s="233" t="s">
        <v>276</v>
      </c>
      <c r="D3" s="234" t="s">
        <v>277</v>
      </c>
      <c r="E3" s="235">
        <f>SUM(D6:D104)</f>
        <v>12.171500000000002</v>
      </c>
    </row>
    <row r="4" spans="1:6" ht="15.75" hidden="1" x14ac:dyDescent="0.25">
      <c r="C4" s="236" t="s">
        <v>278</v>
      </c>
      <c r="D4" s="237" t="s">
        <v>273</v>
      </c>
      <c r="E4" s="238">
        <f>SUM(E6:E104)</f>
        <v>1049.743573242954</v>
      </c>
    </row>
    <row r="5" spans="1:6" ht="15.75" hidden="1" x14ac:dyDescent="0.25">
      <c r="C5" s="236"/>
      <c r="D5" s="237"/>
      <c r="E5" s="238"/>
    </row>
    <row r="6" spans="1:6" hidden="1" x14ac:dyDescent="0.2">
      <c r="B6" t="s">
        <v>76</v>
      </c>
      <c r="C6" s="239" t="s">
        <v>250</v>
      </c>
      <c r="D6" s="53">
        <f>48/1000</f>
        <v>4.8000000000000001E-2</v>
      </c>
      <c r="E6" s="240">
        <v>11.623826736</v>
      </c>
    </row>
    <row r="7" spans="1:6" hidden="1" x14ac:dyDescent="0.2">
      <c r="C7" s="241" t="s">
        <v>279</v>
      </c>
      <c r="D7" s="241">
        <v>2.5999999999999999E-2</v>
      </c>
      <c r="E7" s="242">
        <v>7.5824392799999991</v>
      </c>
    </row>
    <row r="8" spans="1:6" hidden="1" x14ac:dyDescent="0.2">
      <c r="A8" s="243" t="s">
        <v>280</v>
      </c>
      <c r="B8" s="244" t="s">
        <v>23</v>
      </c>
      <c r="C8" s="245" t="s">
        <v>214</v>
      </c>
      <c r="D8" s="246">
        <v>2.1999999999999999E-2</v>
      </c>
      <c r="E8" s="247">
        <f>D8*291.63228</f>
        <v>6.4159101599999993</v>
      </c>
    </row>
    <row r="9" spans="1:6" hidden="1" x14ac:dyDescent="0.2">
      <c r="A9" s="243" t="s">
        <v>280</v>
      </c>
      <c r="B9" s="248"/>
      <c r="C9" s="249" t="s">
        <v>214</v>
      </c>
      <c r="D9" s="250">
        <f>4/1000</f>
        <v>4.0000000000000001E-3</v>
      </c>
      <c r="E9" s="242">
        <v>0.98433454399999998</v>
      </c>
    </row>
    <row r="10" spans="1:6" hidden="1" x14ac:dyDescent="0.2">
      <c r="A10" s="243" t="s">
        <v>280</v>
      </c>
      <c r="B10" s="248"/>
      <c r="C10" s="251" t="s">
        <v>152</v>
      </c>
      <c r="D10" s="252">
        <v>0.222</v>
      </c>
      <c r="E10" s="253">
        <f>D10*291.63228</f>
        <v>64.742366160000003</v>
      </c>
    </row>
    <row r="11" spans="1:6" hidden="1" x14ac:dyDescent="0.2">
      <c r="A11" s="243" t="s">
        <v>280</v>
      </c>
      <c r="B11" s="248"/>
      <c r="C11" s="130" t="s">
        <v>31</v>
      </c>
      <c r="D11" s="254">
        <v>0.10199999999999999</v>
      </c>
      <c r="E11" s="255">
        <v>52.837654235999992</v>
      </c>
    </row>
    <row r="12" spans="1:6" hidden="1" x14ac:dyDescent="0.2">
      <c r="A12" s="243" t="s">
        <v>280</v>
      </c>
      <c r="B12" s="248"/>
      <c r="C12" s="251" t="s">
        <v>217</v>
      </c>
      <c r="D12" s="252">
        <v>7.2999999999999995E-2</v>
      </c>
      <c r="E12" s="253">
        <f>D12*291.63228</f>
        <v>21.289156439999996</v>
      </c>
    </row>
    <row r="13" spans="1:6" hidden="1" x14ac:dyDescent="0.2">
      <c r="A13" s="243" t="s">
        <v>280</v>
      </c>
      <c r="B13" s="248"/>
      <c r="C13" s="249" t="s">
        <v>219</v>
      </c>
      <c r="D13" s="250">
        <v>0.01</v>
      </c>
      <c r="E13" s="256">
        <v>2.9163227999999997</v>
      </c>
    </row>
    <row r="14" spans="1:6" hidden="1" x14ac:dyDescent="0.2">
      <c r="A14" s="243" t="s">
        <v>280</v>
      </c>
      <c r="B14" s="248"/>
      <c r="C14" s="249" t="s">
        <v>220</v>
      </c>
      <c r="D14" s="250">
        <v>0.01</v>
      </c>
      <c r="E14" s="256">
        <v>2.9163227999999997</v>
      </c>
    </row>
    <row r="15" spans="1:6" hidden="1" x14ac:dyDescent="0.2">
      <c r="A15" s="243" t="s">
        <v>280</v>
      </c>
      <c r="B15" s="248"/>
      <c r="C15" s="257" t="s">
        <v>41</v>
      </c>
      <c r="D15" s="258">
        <v>6.0000000000000001E-3</v>
      </c>
      <c r="E15" s="253">
        <f>D15*291.63228</f>
        <v>1.74979368</v>
      </c>
    </row>
    <row r="16" spans="1:6" hidden="1" x14ac:dyDescent="0.2">
      <c r="B16" t="s">
        <v>23</v>
      </c>
      <c r="C16" s="251" t="s">
        <v>222</v>
      </c>
      <c r="D16" s="259">
        <v>6.0000000000000001E-3</v>
      </c>
      <c r="E16" s="253">
        <f>D16*312.9488</f>
        <v>1.8776928000000002</v>
      </c>
      <c r="F16" s="260"/>
    </row>
    <row r="17" spans="1:6" hidden="1" x14ac:dyDescent="0.2">
      <c r="A17" s="243" t="s">
        <v>280</v>
      </c>
      <c r="B17" s="244" t="s">
        <v>281</v>
      </c>
      <c r="C17" s="245" t="s">
        <v>226</v>
      </c>
      <c r="D17" s="246">
        <v>5.4999999999999997E-3</v>
      </c>
      <c r="E17" s="247">
        <f>D17*312.9488</f>
        <v>1.7212183999999999</v>
      </c>
      <c r="F17" s="260"/>
    </row>
    <row r="18" spans="1:6" hidden="1" x14ac:dyDescent="0.2">
      <c r="A18" s="243" t="s">
        <v>280</v>
      </c>
      <c r="B18" s="248"/>
      <c r="C18" s="251" t="s">
        <v>227</v>
      </c>
      <c r="D18" s="252">
        <v>6.4999999999999997E-3</v>
      </c>
      <c r="E18" s="253">
        <f>D18*312.9488</f>
        <v>2.0341671999999997</v>
      </c>
      <c r="F18" s="260"/>
    </row>
    <row r="19" spans="1:6" hidden="1" x14ac:dyDescent="0.2">
      <c r="A19" s="243" t="s">
        <v>280</v>
      </c>
      <c r="B19" s="248"/>
      <c r="C19" s="241" t="s">
        <v>227</v>
      </c>
      <c r="D19" s="261">
        <f>0.015+0.05</f>
        <v>6.5000000000000002E-2</v>
      </c>
      <c r="E19" s="242">
        <f>4.3744842+14.5816</f>
        <v>18.956084199999999</v>
      </c>
    </row>
    <row r="20" spans="1:6" hidden="1" x14ac:dyDescent="0.2">
      <c r="A20" s="243" t="s">
        <v>280</v>
      </c>
      <c r="B20" s="248"/>
      <c r="C20" s="251" t="s">
        <v>161</v>
      </c>
      <c r="D20" s="252">
        <v>5.3E-3</v>
      </c>
      <c r="E20" s="253">
        <f>D20*312.9488</f>
        <v>1.6586286400000001</v>
      </c>
      <c r="F20" s="260"/>
    </row>
    <row r="21" spans="1:6" hidden="1" x14ac:dyDescent="0.2">
      <c r="A21" s="243" t="s">
        <v>280</v>
      </c>
      <c r="B21" s="248"/>
      <c r="C21" s="241" t="s">
        <v>263</v>
      </c>
      <c r="D21" s="261">
        <v>6.0000000000000001E-3</v>
      </c>
      <c r="E21" s="242">
        <v>1.74979368</v>
      </c>
    </row>
    <row r="22" spans="1:6" hidden="1" x14ac:dyDescent="0.2">
      <c r="A22" s="243" t="s">
        <v>280</v>
      </c>
      <c r="B22" s="248"/>
      <c r="C22" s="251" t="s">
        <v>228</v>
      </c>
      <c r="D22" s="252">
        <v>2.5000000000000001E-3</v>
      </c>
      <c r="E22" s="253">
        <f>D22*291.63228</f>
        <v>0.72908069999999991</v>
      </c>
    </row>
    <row r="23" spans="1:6" hidden="1" x14ac:dyDescent="0.2">
      <c r="A23" s="243" t="s">
        <v>280</v>
      </c>
      <c r="B23" s="248"/>
      <c r="C23" s="241" t="s">
        <v>282</v>
      </c>
      <c r="D23" s="261">
        <v>2.5999999999999999E-2</v>
      </c>
      <c r="E23" s="242">
        <v>13.468421668</v>
      </c>
    </row>
    <row r="24" spans="1:6" hidden="1" x14ac:dyDescent="0.2">
      <c r="A24" s="243" t="s">
        <v>280</v>
      </c>
      <c r="B24" s="248"/>
      <c r="C24" s="262" t="s">
        <v>283</v>
      </c>
      <c r="D24" s="252">
        <v>2.4E-2</v>
      </c>
      <c r="E24" s="253">
        <f>D24*312.9488</f>
        <v>7.5107712000000006</v>
      </c>
      <c r="F24" s="260"/>
    </row>
    <row r="25" spans="1:6" hidden="1" x14ac:dyDescent="0.2">
      <c r="A25" s="243" t="s">
        <v>280</v>
      </c>
      <c r="B25" s="248"/>
      <c r="C25" s="263" t="s">
        <v>284</v>
      </c>
      <c r="D25" s="264">
        <v>6.0000000000000001E-3</v>
      </c>
      <c r="E25" s="242">
        <v>1.74979368</v>
      </c>
    </row>
    <row r="26" spans="1:6" hidden="1" x14ac:dyDescent="0.2">
      <c r="B26" t="s">
        <v>281</v>
      </c>
      <c r="C26" s="249" t="s">
        <v>285</v>
      </c>
      <c r="D26" s="250">
        <v>0.02</v>
      </c>
      <c r="E26" s="265">
        <v>10.36032436</v>
      </c>
    </row>
    <row r="27" spans="1:6" hidden="1" x14ac:dyDescent="0.2">
      <c r="C27" s="251" t="s">
        <v>108</v>
      </c>
      <c r="D27" s="252">
        <v>4.0000000000000001E-3</v>
      </c>
      <c r="E27" s="266">
        <f>D27*291.63228</f>
        <v>1.1665291199999999</v>
      </c>
    </row>
    <row r="28" spans="1:6" hidden="1" x14ac:dyDescent="0.2">
      <c r="C28" s="251" t="s">
        <v>286</v>
      </c>
      <c r="D28" s="252">
        <v>2E-3</v>
      </c>
      <c r="E28" s="266">
        <f>D28*312.9488</f>
        <v>0.62589760000000005</v>
      </c>
      <c r="F28" s="260"/>
    </row>
    <row r="29" spans="1:6" hidden="1" x14ac:dyDescent="0.2">
      <c r="C29" s="251" t="s">
        <v>287</v>
      </c>
      <c r="D29" s="252">
        <v>0.01</v>
      </c>
      <c r="E29" s="266">
        <f>D29*291.63228</f>
        <v>2.9163227999999997</v>
      </c>
    </row>
    <row r="30" spans="1:6" hidden="1" x14ac:dyDescent="0.2">
      <c r="C30" s="251" t="s">
        <v>288</v>
      </c>
      <c r="D30" s="252">
        <v>0.01</v>
      </c>
      <c r="E30" s="266">
        <f>D30*291.63228</f>
        <v>2.9163227999999997</v>
      </c>
    </row>
    <row r="31" spans="1:6" hidden="1" x14ac:dyDescent="0.2">
      <c r="C31" s="249" t="s">
        <v>233</v>
      </c>
      <c r="D31" s="250">
        <v>5.0000000000000001E-3</v>
      </c>
      <c r="E31" s="265">
        <v>1.4581613999999998</v>
      </c>
    </row>
    <row r="32" spans="1:6" hidden="1" x14ac:dyDescent="0.2">
      <c r="C32" s="249" t="s">
        <v>267</v>
      </c>
      <c r="D32" s="250">
        <v>2.5000000000000001E-3</v>
      </c>
      <c r="E32" s="265">
        <v>0.72908069999999991</v>
      </c>
    </row>
    <row r="33" spans="1:8" hidden="1" x14ac:dyDescent="0.2">
      <c r="B33" t="s">
        <v>289</v>
      </c>
      <c r="C33" s="267" t="s">
        <v>267</v>
      </c>
      <c r="D33" s="268">
        <v>2.5999999999999999E-2</v>
      </c>
      <c r="E33" s="269">
        <v>13.468421668</v>
      </c>
    </row>
    <row r="34" spans="1:8" hidden="1" x14ac:dyDescent="0.2">
      <c r="C34" s="249" t="s">
        <v>267</v>
      </c>
      <c r="D34" s="250">
        <v>3.5999999999999999E-3</v>
      </c>
      <c r="E34" s="256">
        <v>1.8442799999999997</v>
      </c>
    </row>
    <row r="35" spans="1:8" hidden="1" x14ac:dyDescent="0.2">
      <c r="C35" s="249" t="s">
        <v>55</v>
      </c>
      <c r="D35" s="250">
        <v>3.5999999999999999E-3</v>
      </c>
      <c r="E35" s="265">
        <v>0.228152462004</v>
      </c>
    </row>
    <row r="36" spans="1:8" hidden="1" x14ac:dyDescent="0.2">
      <c r="C36" s="270" t="s">
        <v>239</v>
      </c>
      <c r="D36" s="271">
        <v>0.12</v>
      </c>
      <c r="E36" s="265">
        <v>62.161946159999992</v>
      </c>
    </row>
    <row r="37" spans="1:8" hidden="1" x14ac:dyDescent="0.2">
      <c r="C37" s="270" t="s">
        <v>70</v>
      </c>
      <c r="D37" s="271">
        <v>5.0000000000000001E-3</v>
      </c>
      <c r="E37" s="265">
        <v>1.4581613999999998</v>
      </c>
    </row>
    <row r="38" spans="1:8" hidden="1" x14ac:dyDescent="0.2">
      <c r="C38" s="251" t="s">
        <v>172</v>
      </c>
      <c r="D38" s="252">
        <v>5.3999999999999999E-2</v>
      </c>
      <c r="E38" s="266">
        <f>D38*483.1481119</f>
        <v>26.089998042600001</v>
      </c>
    </row>
    <row r="39" spans="1:8" hidden="1" x14ac:dyDescent="0.2">
      <c r="C39" s="257" t="s">
        <v>290</v>
      </c>
      <c r="D39" s="272">
        <v>1.2E-2</v>
      </c>
      <c r="E39" s="266">
        <f>D39*279.0606349</f>
        <v>3.3487276188000004</v>
      </c>
      <c r="H39" s="273"/>
    </row>
    <row r="40" spans="1:8" hidden="1" x14ac:dyDescent="0.2">
      <c r="C40" s="274" t="s">
        <v>290</v>
      </c>
      <c r="D40" s="275">
        <v>0.01</v>
      </c>
      <c r="E40" s="276">
        <v>2.8464550000000002</v>
      </c>
      <c r="F40">
        <v>2015</v>
      </c>
    </row>
    <row r="41" spans="1:8" hidden="1" x14ac:dyDescent="0.2">
      <c r="C41" s="251" t="s">
        <v>111</v>
      </c>
      <c r="D41" s="252">
        <v>4.0000000000000001E-3</v>
      </c>
      <c r="E41" s="266">
        <f>D41*279.0606349</f>
        <v>1.1162425396000002</v>
      </c>
    </row>
    <row r="42" spans="1:8" ht="13.5" hidden="1" thickBot="1" x14ac:dyDescent="0.25">
      <c r="C42" s="277" t="s">
        <v>189</v>
      </c>
      <c r="D42" s="278">
        <f>0.009+0.0045</f>
        <v>1.3499999999999998E-2</v>
      </c>
      <c r="E42" s="279">
        <f>D42*263.2497674</f>
        <v>3.5538718598999997</v>
      </c>
    </row>
    <row r="43" spans="1:8" hidden="1" x14ac:dyDescent="0.2">
      <c r="A43" s="243" t="s">
        <v>280</v>
      </c>
      <c r="B43" s="244" t="s">
        <v>289</v>
      </c>
      <c r="C43" s="245" t="s">
        <v>291</v>
      </c>
      <c r="D43" s="246">
        <v>0.01</v>
      </c>
      <c r="E43" s="247">
        <f>D43*483.1481119</f>
        <v>4.8314811190000002</v>
      </c>
      <c r="G43" s="273"/>
      <c r="H43" s="273"/>
    </row>
    <row r="44" spans="1:8" hidden="1" x14ac:dyDescent="0.2">
      <c r="A44" s="243" t="s">
        <v>280</v>
      </c>
      <c r="B44" s="248"/>
      <c r="C44" s="280" t="s">
        <v>291</v>
      </c>
      <c r="D44" s="281">
        <v>3.0000000000000001E-3</v>
      </c>
      <c r="E44" s="282">
        <f>D44*263.2497674</f>
        <v>0.78974930220000006</v>
      </c>
    </row>
    <row r="45" spans="1:8" hidden="1" x14ac:dyDescent="0.2">
      <c r="A45" s="243" t="s">
        <v>280</v>
      </c>
      <c r="B45" s="248"/>
      <c r="C45" s="251" t="s">
        <v>112</v>
      </c>
      <c r="D45" s="252">
        <v>3.5999999999999997E-2</v>
      </c>
      <c r="E45" s="253">
        <f>D45*483.1481119</f>
        <v>17.3933320284</v>
      </c>
      <c r="G45" s="273"/>
      <c r="H45" s="273"/>
    </row>
    <row r="46" spans="1:8" hidden="1" x14ac:dyDescent="0.2">
      <c r="A46" s="243" t="s">
        <v>280</v>
      </c>
      <c r="B46" s="248"/>
      <c r="C46" s="251" t="s">
        <v>112</v>
      </c>
      <c r="D46" s="252">
        <v>2.3E-2</v>
      </c>
      <c r="E46" s="253">
        <f>D46*279.0606349</f>
        <v>6.4183946027000003</v>
      </c>
    </row>
    <row r="47" spans="1:8" hidden="1" x14ac:dyDescent="0.2">
      <c r="A47" s="243" t="s">
        <v>280</v>
      </c>
      <c r="B47" s="248"/>
      <c r="C47" s="283" t="s">
        <v>112</v>
      </c>
      <c r="D47" s="284">
        <v>1.4999999999999999E-2</v>
      </c>
      <c r="E47" s="285">
        <v>4.2696825</v>
      </c>
      <c r="F47">
        <v>2015</v>
      </c>
    </row>
    <row r="48" spans="1:8" hidden="1" x14ac:dyDescent="0.2">
      <c r="A48" s="243" t="s">
        <v>280</v>
      </c>
      <c r="B48" s="248"/>
      <c r="C48" s="283" t="s">
        <v>77</v>
      </c>
      <c r="D48" s="284">
        <v>1.2E-2</v>
      </c>
      <c r="E48" s="285">
        <v>3.4157460000000004</v>
      </c>
      <c r="F48">
        <v>2015</v>
      </c>
    </row>
    <row r="49" spans="1:9" hidden="1" x14ac:dyDescent="0.2">
      <c r="A49" s="243" t="s">
        <v>280</v>
      </c>
      <c r="B49" s="248"/>
      <c r="C49" s="286" t="s">
        <v>114</v>
      </c>
      <c r="D49" s="287">
        <v>6.2E-2</v>
      </c>
      <c r="E49" s="288">
        <v>36.192983599999998</v>
      </c>
    </row>
    <row r="50" spans="1:9" hidden="1" x14ac:dyDescent="0.2">
      <c r="A50" s="243" t="s">
        <v>280</v>
      </c>
      <c r="B50" s="248"/>
      <c r="C50" s="251" t="s">
        <v>116</v>
      </c>
      <c r="D50" s="252">
        <v>3.7999999999999999E-2</v>
      </c>
      <c r="E50" s="253">
        <f>D50*279.0606349</f>
        <v>10.604304126200001</v>
      </c>
    </row>
    <row r="51" spans="1:9" hidden="1" x14ac:dyDescent="0.2">
      <c r="A51" s="243" t="s">
        <v>280</v>
      </c>
      <c r="B51" s="248"/>
      <c r="C51" s="251" t="s">
        <v>122</v>
      </c>
      <c r="D51" s="252">
        <v>4.5999999999999999E-2</v>
      </c>
      <c r="E51" s="253">
        <f>D51*279.0606349</f>
        <v>12.836789205400001</v>
      </c>
    </row>
    <row r="52" spans="1:9" hidden="1" x14ac:dyDescent="0.2">
      <c r="A52" s="243" t="s">
        <v>280</v>
      </c>
      <c r="B52" s="248"/>
      <c r="C52" s="251" t="s">
        <v>269</v>
      </c>
      <c r="D52" s="252">
        <v>1.2999999999999999E-2</v>
      </c>
      <c r="E52" s="253">
        <f>D52*279.0606349</f>
        <v>3.6277882537000004</v>
      </c>
    </row>
    <row r="53" spans="1:9" hidden="1" x14ac:dyDescent="0.2">
      <c r="A53" s="243" t="s">
        <v>280</v>
      </c>
      <c r="B53" s="248"/>
      <c r="C53" s="289" t="s">
        <v>174</v>
      </c>
      <c r="D53" s="290">
        <v>0.104</v>
      </c>
      <c r="E53" s="288">
        <v>60.710811199999995</v>
      </c>
    </row>
    <row r="54" spans="1:9" hidden="1" x14ac:dyDescent="0.2">
      <c r="A54" s="243" t="s">
        <v>280</v>
      </c>
      <c r="B54" s="244"/>
      <c r="C54" s="154" t="s">
        <v>292</v>
      </c>
      <c r="D54" s="291">
        <v>0.02</v>
      </c>
      <c r="E54" s="269">
        <v>10.245999999999999</v>
      </c>
    </row>
    <row r="55" spans="1:9" hidden="1" x14ac:dyDescent="0.2">
      <c r="A55" s="243" t="s">
        <v>280</v>
      </c>
      <c r="B55" s="248"/>
      <c r="C55" s="251" t="s">
        <v>293</v>
      </c>
      <c r="D55" s="252">
        <v>0.03</v>
      </c>
      <c r="E55" s="266">
        <f>D55*268.8781227</f>
        <v>8.0663436809999993</v>
      </c>
    </row>
    <row r="56" spans="1:9" hidden="1" x14ac:dyDescent="0.2">
      <c r="A56" s="243" t="s">
        <v>280</v>
      </c>
      <c r="B56" s="248"/>
      <c r="C56" s="286" t="s">
        <v>123</v>
      </c>
      <c r="D56" s="287">
        <v>8.0000000000000002E-3</v>
      </c>
      <c r="E56" s="292">
        <v>4.6700623999999999</v>
      </c>
    </row>
    <row r="57" spans="1:9" hidden="1" x14ac:dyDescent="0.2">
      <c r="A57" s="243" t="s">
        <v>280</v>
      </c>
      <c r="B57" s="248"/>
      <c r="C57" s="283" t="s">
        <v>123</v>
      </c>
      <c r="D57" s="284">
        <v>8.9999999999999993E-3</v>
      </c>
      <c r="E57" s="276">
        <v>2.5618094999999999</v>
      </c>
      <c r="F57">
        <v>2015</v>
      </c>
    </row>
    <row r="58" spans="1:9" hidden="1" x14ac:dyDescent="0.2">
      <c r="A58" s="243" t="s">
        <v>280</v>
      </c>
      <c r="B58" s="248"/>
      <c r="C58" s="280" t="s">
        <v>123</v>
      </c>
      <c r="D58" s="281">
        <v>2.6700000000000002E-2</v>
      </c>
      <c r="E58" s="293">
        <v>6.8977334158500012</v>
      </c>
    </row>
    <row r="59" spans="1:9" hidden="1" x14ac:dyDescent="0.2">
      <c r="A59" s="243" t="s">
        <v>280</v>
      </c>
      <c r="B59" s="248"/>
      <c r="C59" s="251" t="s">
        <v>294</v>
      </c>
      <c r="D59" s="252">
        <v>1.4999999999999999E-2</v>
      </c>
      <c r="E59" s="266">
        <f>D59*291.63228</f>
        <v>4.3744841999999995</v>
      </c>
      <c r="G59" s="273"/>
      <c r="H59" s="273"/>
    </row>
    <row r="60" spans="1:9" hidden="1" x14ac:dyDescent="0.2">
      <c r="A60" s="243" t="s">
        <v>280</v>
      </c>
      <c r="B60" s="248"/>
      <c r="C60" s="251" t="s">
        <v>192</v>
      </c>
      <c r="D60" s="252">
        <v>2.7E-2</v>
      </c>
      <c r="E60" s="266">
        <f>D60*268.8781227</f>
        <v>7.2597093129000001</v>
      </c>
    </row>
    <row r="61" spans="1:9" hidden="1" x14ac:dyDescent="0.2">
      <c r="A61" s="243" t="s">
        <v>280</v>
      </c>
      <c r="B61" s="248"/>
      <c r="C61" s="280" t="s">
        <v>192</v>
      </c>
      <c r="D61" s="281">
        <v>0.01</v>
      </c>
      <c r="E61" s="293">
        <v>2.5834207550000001</v>
      </c>
    </row>
    <row r="62" spans="1:9" hidden="1" x14ac:dyDescent="0.2">
      <c r="B62" t="s">
        <v>58</v>
      </c>
      <c r="C62" s="245" t="s">
        <v>84</v>
      </c>
      <c r="D62" s="294">
        <v>0.12</v>
      </c>
      <c r="E62" s="247">
        <f>D62*279.0606349</f>
        <v>33.487276188000003</v>
      </c>
    </row>
    <row r="63" spans="1:9" hidden="1" x14ac:dyDescent="0.2">
      <c r="C63" s="251" t="s">
        <v>129</v>
      </c>
      <c r="D63" s="252">
        <v>2.5000000000000001E-2</v>
      </c>
      <c r="E63" s="253">
        <f>D63*268.8781227</f>
        <v>6.7219530675000003</v>
      </c>
      <c r="H63" s="273"/>
      <c r="I63" s="273"/>
    </row>
    <row r="64" spans="1:9" hidden="1" x14ac:dyDescent="0.2">
      <c r="C64" s="251" t="s">
        <v>129</v>
      </c>
      <c r="D64" s="252">
        <v>1.2E-2</v>
      </c>
      <c r="E64" s="266">
        <f>D64*483.1481119</f>
        <v>5.7977773427999999</v>
      </c>
    </row>
    <row r="65" spans="2:8" hidden="1" x14ac:dyDescent="0.2">
      <c r="C65" s="257" t="s">
        <v>129</v>
      </c>
      <c r="D65" s="272">
        <v>1.2E-2</v>
      </c>
      <c r="E65" s="266">
        <f>D65*279.0606349</f>
        <v>3.3487276188000004</v>
      </c>
    </row>
    <row r="66" spans="2:8" hidden="1" x14ac:dyDescent="0.2">
      <c r="C66" s="257" t="s">
        <v>131</v>
      </c>
      <c r="D66" s="272">
        <v>1.2E-2</v>
      </c>
      <c r="E66" s="266">
        <f>D66*483.1481119</f>
        <v>5.7977773427999999</v>
      </c>
      <c r="G66" s="273"/>
      <c r="H66" s="273"/>
    </row>
    <row r="67" spans="2:8" hidden="1" x14ac:dyDescent="0.2">
      <c r="C67" s="251" t="s">
        <v>131</v>
      </c>
      <c r="D67" s="252">
        <v>0.02</v>
      </c>
      <c r="E67" s="266">
        <f>D67*279.0606349</f>
        <v>5.5812126980000007</v>
      </c>
    </row>
    <row r="68" spans="2:8" hidden="1" x14ac:dyDescent="0.2">
      <c r="C68" s="270" t="s">
        <v>295</v>
      </c>
      <c r="D68" s="271">
        <v>1.4E-2</v>
      </c>
      <c r="E68" s="265">
        <v>7.2522270520000003</v>
      </c>
    </row>
    <row r="69" spans="2:8" hidden="1" x14ac:dyDescent="0.2">
      <c r="C69" s="263" t="s">
        <v>247</v>
      </c>
      <c r="D69" s="295">
        <v>0.01</v>
      </c>
      <c r="E69" s="296">
        <v>5.1801621799999999</v>
      </c>
    </row>
    <row r="70" spans="2:8" hidden="1" x14ac:dyDescent="0.2">
      <c r="C70" s="249" t="s">
        <v>248</v>
      </c>
      <c r="D70" s="250">
        <v>0.15500000000000003</v>
      </c>
      <c r="E70" s="265">
        <v>80.292513790000015</v>
      </c>
    </row>
    <row r="71" spans="2:8" hidden="1" x14ac:dyDescent="0.2">
      <c r="C71" s="257" t="s">
        <v>251</v>
      </c>
      <c r="D71" s="258">
        <v>4.0000000000000001E-3</v>
      </c>
      <c r="E71" s="266">
        <f>D71*312.9488</f>
        <v>1.2517952000000001</v>
      </c>
      <c r="F71" s="260"/>
    </row>
    <row r="72" spans="2:8" hidden="1" x14ac:dyDescent="0.2">
      <c r="C72" s="241" t="s">
        <v>86</v>
      </c>
      <c r="D72" s="297">
        <v>6.0000000000000001E-3</v>
      </c>
      <c r="E72" s="242">
        <v>3.1080973080000001</v>
      </c>
    </row>
    <row r="73" spans="2:8" hidden="1" x14ac:dyDescent="0.2">
      <c r="B73" t="s">
        <v>296</v>
      </c>
      <c r="C73" s="298" t="s">
        <v>88</v>
      </c>
      <c r="D73" s="299">
        <f>26/1000</f>
        <v>2.5999999999999999E-2</v>
      </c>
      <c r="E73" s="300">
        <v>6.2962394819999998</v>
      </c>
      <c r="G73" s="273"/>
      <c r="H73" s="273"/>
    </row>
    <row r="74" spans="2:8" hidden="1" x14ac:dyDescent="0.2">
      <c r="C74" s="251" t="s">
        <v>88</v>
      </c>
      <c r="D74" s="252">
        <v>3.5999999999999997E-2</v>
      </c>
      <c r="E74" s="247">
        <v>18.648583847999998</v>
      </c>
    </row>
    <row r="75" spans="2:8" hidden="1" x14ac:dyDescent="0.2">
      <c r="B75" t="s">
        <v>296</v>
      </c>
      <c r="C75" s="263" t="s">
        <v>180</v>
      </c>
      <c r="D75" s="301">
        <v>0.22600000000000003</v>
      </c>
      <c r="E75" s="296">
        <v>117.07166526800002</v>
      </c>
      <c r="G75" s="273"/>
      <c r="H75" s="273"/>
    </row>
    <row r="76" spans="2:8" hidden="1" x14ac:dyDescent="0.2">
      <c r="C76" s="263" t="s">
        <v>180</v>
      </c>
      <c r="D76" s="301">
        <f>7/1000</f>
        <v>7.0000000000000001E-3</v>
      </c>
      <c r="E76" s="296">
        <v>1.7225854519999999</v>
      </c>
    </row>
    <row r="77" spans="2:8" hidden="1" x14ac:dyDescent="0.2">
      <c r="C77" s="302" t="s">
        <v>193</v>
      </c>
      <c r="D77" s="303">
        <v>1.2E-2</v>
      </c>
      <c r="E77" s="293">
        <v>3.1001049060000003</v>
      </c>
      <c r="G77" s="273"/>
      <c r="H77" s="273"/>
    </row>
    <row r="78" spans="2:8" hidden="1" x14ac:dyDescent="0.2">
      <c r="C78" s="302" t="s">
        <v>193</v>
      </c>
      <c r="D78" s="303">
        <v>8.0000000000000002E-3</v>
      </c>
      <c r="E78" s="293">
        <f>D78*263.2497674</f>
        <v>2.1059981392</v>
      </c>
    </row>
    <row r="79" spans="2:8" hidden="1" x14ac:dyDescent="0.2">
      <c r="C79" s="257" t="s">
        <v>133</v>
      </c>
      <c r="D79" s="258">
        <v>8.0000000000000002E-3</v>
      </c>
      <c r="E79" s="266">
        <f>D79*268.8781227</f>
        <v>2.1510249816</v>
      </c>
    </row>
    <row r="80" spans="2:8" hidden="1" x14ac:dyDescent="0.2">
      <c r="C80" s="257" t="s">
        <v>134</v>
      </c>
      <c r="D80" s="258">
        <v>4.0000000000000001E-3</v>
      </c>
      <c r="E80" s="266">
        <f>D80*268.8781227</f>
        <v>1.0755124908</v>
      </c>
      <c r="G80" s="273"/>
      <c r="H80" s="273"/>
    </row>
    <row r="81" spans="1:9" hidden="1" x14ac:dyDescent="0.2">
      <c r="B81" t="s">
        <v>297</v>
      </c>
      <c r="C81" s="280" t="s">
        <v>134</v>
      </c>
      <c r="D81" s="304">
        <v>4.0000000000000001E-3</v>
      </c>
      <c r="E81" s="282">
        <f>D81*263.2497674</f>
        <v>1.0529990696</v>
      </c>
    </row>
    <row r="82" spans="1:9" hidden="1" x14ac:dyDescent="0.2">
      <c r="C82" s="251" t="s">
        <v>261</v>
      </c>
      <c r="D82" s="259">
        <v>4.0000000000000001E-3</v>
      </c>
      <c r="E82" s="253">
        <f>D82*268.8781227</f>
        <v>1.0755124908</v>
      </c>
    </row>
    <row r="83" spans="1:9" hidden="1" x14ac:dyDescent="0.2">
      <c r="C83" s="286" t="s">
        <v>136</v>
      </c>
      <c r="D83" s="305">
        <v>1.7999999999999999E-2</v>
      </c>
      <c r="E83" s="288">
        <v>10.507640399999998</v>
      </c>
      <c r="G83" s="273"/>
      <c r="H83" s="273"/>
    </row>
    <row r="84" spans="1:9" hidden="1" x14ac:dyDescent="0.2">
      <c r="C84" s="280" t="s">
        <v>136</v>
      </c>
      <c r="D84" s="304">
        <v>1.7999999999999999E-2</v>
      </c>
      <c r="E84" s="282">
        <v>4.6501573589999996</v>
      </c>
    </row>
    <row r="85" spans="1:9" hidden="1" x14ac:dyDescent="0.2">
      <c r="C85" s="251" t="s">
        <v>94</v>
      </c>
      <c r="D85" s="259">
        <v>2.8000000000000001E-2</v>
      </c>
      <c r="E85" s="253">
        <f>D85*268.8781227</f>
        <v>7.5285874356000004</v>
      </c>
    </row>
    <row r="86" spans="1:9" hidden="1" x14ac:dyDescent="0.2">
      <c r="C86" s="251" t="s">
        <v>254</v>
      </c>
      <c r="D86" s="259">
        <v>8.2000000000000003E-2</v>
      </c>
      <c r="E86" s="253">
        <f>D86*279.0606349</f>
        <v>22.882972061800004</v>
      </c>
    </row>
    <row r="87" spans="1:9" hidden="1" x14ac:dyDescent="0.2">
      <c r="C87" s="251" t="s">
        <v>182</v>
      </c>
      <c r="D87" s="259">
        <v>3.0000000000000001E-3</v>
      </c>
      <c r="E87" s="253">
        <f>D87*268.8781227</f>
        <v>0.8066343681</v>
      </c>
      <c r="G87" s="273"/>
      <c r="H87" s="273"/>
    </row>
    <row r="88" spans="1:9" hidden="1" x14ac:dyDescent="0.2">
      <c r="B88" t="s">
        <v>298</v>
      </c>
      <c r="C88" s="245" t="s">
        <v>182</v>
      </c>
      <c r="D88" s="294">
        <v>7.0000000000000001E-3</v>
      </c>
      <c r="E88" s="247">
        <f>D88*483.1481119</f>
        <v>3.3820367833000002</v>
      </c>
    </row>
    <row r="89" spans="1:9" hidden="1" x14ac:dyDescent="0.2">
      <c r="A89" s="306" t="s">
        <v>280</v>
      </c>
      <c r="B89" s="248" t="s">
        <v>298</v>
      </c>
      <c r="C89" s="251" t="s">
        <v>299</v>
      </c>
      <c r="D89" s="259">
        <v>8.0000000000000002E-3</v>
      </c>
      <c r="E89" s="253">
        <f>D89*279.0606349</f>
        <v>2.2324850792000004</v>
      </c>
    </row>
    <row r="90" spans="1:9" hidden="1" x14ac:dyDescent="0.2">
      <c r="A90" s="306" t="s">
        <v>280</v>
      </c>
      <c r="B90" s="248"/>
      <c r="C90" s="280" t="s">
        <v>144</v>
      </c>
      <c r="D90" s="304">
        <v>1.6E-2</v>
      </c>
      <c r="E90" s="282">
        <f>D90*263.2497674</f>
        <v>4.2119962784</v>
      </c>
    </row>
    <row r="91" spans="1:9" hidden="1" x14ac:dyDescent="0.2">
      <c r="A91" s="306" t="s">
        <v>280</v>
      </c>
      <c r="B91" s="248"/>
      <c r="C91" s="251" t="s">
        <v>145</v>
      </c>
      <c r="D91" s="259">
        <v>0.105</v>
      </c>
      <c r="E91" s="253">
        <f>D91*483.1481119</f>
        <v>50.730551749500002</v>
      </c>
    </row>
    <row r="92" spans="1:9" hidden="1" x14ac:dyDescent="0.2">
      <c r="A92" s="306" t="s">
        <v>280</v>
      </c>
      <c r="B92" s="248"/>
      <c r="C92" s="283" t="s">
        <v>145</v>
      </c>
      <c r="D92" s="307">
        <v>1.2E-2</v>
      </c>
      <c r="E92" s="285">
        <v>3.4157460000000004</v>
      </c>
      <c r="F92">
        <v>2015</v>
      </c>
    </row>
    <row r="93" spans="1:9" hidden="1" x14ac:dyDescent="0.2">
      <c r="A93" s="306" t="s">
        <v>280</v>
      </c>
      <c r="B93" s="248"/>
      <c r="C93" s="280" t="s">
        <v>145</v>
      </c>
      <c r="D93" s="304">
        <v>2.7E-2</v>
      </c>
      <c r="E93" s="282">
        <v>6.9752360385000003</v>
      </c>
    </row>
    <row r="94" spans="1:9" hidden="1" x14ac:dyDescent="0.2">
      <c r="A94" s="306" t="s">
        <v>280</v>
      </c>
      <c r="B94" s="248"/>
      <c r="C94" s="251" t="s">
        <v>96</v>
      </c>
      <c r="D94" s="259">
        <v>2.8000000000000001E-2</v>
      </c>
      <c r="E94" s="253">
        <f>D94*483.1481119</f>
        <v>13.528147133200001</v>
      </c>
      <c r="H94" s="273"/>
      <c r="I94" s="273"/>
    </row>
    <row r="95" spans="1:9" hidden="1" x14ac:dyDescent="0.2">
      <c r="A95" s="306" t="s">
        <v>280</v>
      </c>
      <c r="B95" s="248"/>
      <c r="C95" s="283" t="s">
        <v>96</v>
      </c>
      <c r="D95" s="307">
        <v>4.0000000000000001E-3</v>
      </c>
      <c r="E95" s="285">
        <v>1.1385820000000002</v>
      </c>
      <c r="F95">
        <v>2015</v>
      </c>
    </row>
    <row r="96" spans="1:9" hidden="1" x14ac:dyDescent="0.2">
      <c r="B96" t="s">
        <v>300</v>
      </c>
      <c r="C96" s="308" t="s">
        <v>96</v>
      </c>
      <c r="D96" s="309">
        <v>1.0999999999999999E-2</v>
      </c>
      <c r="E96" s="310">
        <v>2.8417628305</v>
      </c>
    </row>
    <row r="97" spans="1:9" hidden="1" x14ac:dyDescent="0.2">
      <c r="C97" s="251" t="s">
        <v>97</v>
      </c>
      <c r="D97" s="252">
        <f>0.0095*1000</f>
        <v>9.5</v>
      </c>
      <c r="E97" s="253">
        <f>D97*268.8781227/1000</f>
        <v>2.5543421656500001</v>
      </c>
      <c r="H97" s="273"/>
      <c r="I97" s="273"/>
    </row>
    <row r="98" spans="1:9" hidden="1" x14ac:dyDescent="0.2">
      <c r="C98" s="130" t="s">
        <v>97</v>
      </c>
      <c r="D98" s="311">
        <f>27/1000</f>
        <v>2.7E-2</v>
      </c>
      <c r="E98" s="265">
        <v>7.1077437198000002</v>
      </c>
    </row>
    <row r="99" spans="1:9" hidden="1" x14ac:dyDescent="0.2">
      <c r="A99" s="306" t="s">
        <v>280</v>
      </c>
      <c r="B99" s="248" t="s">
        <v>300</v>
      </c>
      <c r="C99" s="280" t="s">
        <v>270</v>
      </c>
      <c r="D99" s="304">
        <v>1.4500000000000001E-2</v>
      </c>
      <c r="E99" s="282">
        <f>D99*263.2497674</f>
        <v>3.8171216273000002</v>
      </c>
    </row>
    <row r="100" spans="1:9" hidden="1" x14ac:dyDescent="0.2">
      <c r="A100" s="306" t="s">
        <v>280</v>
      </c>
      <c r="B100" s="248"/>
      <c r="C100" s="251" t="s">
        <v>301</v>
      </c>
      <c r="D100" s="259">
        <v>2.1999999999999999E-2</v>
      </c>
      <c r="E100" s="253">
        <f>D100*483.1481119</f>
        <v>10.629258461799999</v>
      </c>
    </row>
    <row r="101" spans="1:9" hidden="1" x14ac:dyDescent="0.2">
      <c r="A101" s="306" t="s">
        <v>280</v>
      </c>
      <c r="B101" s="248"/>
      <c r="C101" s="283" t="s">
        <v>301</v>
      </c>
      <c r="D101" s="307">
        <v>1.7999999999999999E-2</v>
      </c>
      <c r="E101" s="285">
        <v>5.1236189999999997</v>
      </c>
      <c r="F101">
        <v>2015</v>
      </c>
    </row>
    <row r="102" spans="1:9" hidden="1" x14ac:dyDescent="0.2">
      <c r="A102" s="306" t="s">
        <v>280</v>
      </c>
      <c r="B102" s="248"/>
      <c r="C102" s="280" t="s">
        <v>301</v>
      </c>
      <c r="D102" s="304">
        <v>1.2999999999999999E-3</v>
      </c>
      <c r="E102" s="282">
        <v>0.33584469815000001</v>
      </c>
    </row>
    <row r="103" spans="1:9" hidden="1" x14ac:dyDescent="0.2">
      <c r="A103" s="306" t="s">
        <v>280</v>
      </c>
      <c r="B103" s="248"/>
      <c r="C103" s="286" t="s">
        <v>302</v>
      </c>
      <c r="D103" s="305">
        <v>5.0000000000000001E-3</v>
      </c>
      <c r="E103" s="288">
        <v>2.9187889999999999</v>
      </c>
    </row>
    <row r="104" spans="1:9" hidden="1" x14ac:dyDescent="0.2">
      <c r="A104" s="306" t="s">
        <v>280</v>
      </c>
      <c r="B104" s="248"/>
      <c r="C104" s="286" t="s">
        <v>303</v>
      </c>
      <c r="D104" s="305">
        <v>3.0000000000000001E-3</v>
      </c>
      <c r="E104" s="288">
        <v>1.7512733999999999</v>
      </c>
    </row>
    <row r="105" spans="1:9" hidden="1" x14ac:dyDescent="0.2"/>
    <row r="106" spans="1:9" hidden="1" x14ac:dyDescent="0.2"/>
    <row r="107" spans="1:9" hidden="1" x14ac:dyDescent="0.2"/>
    <row r="108" spans="1:9" hidden="1" x14ac:dyDescent="0.2"/>
    <row r="109" spans="1:9" hidden="1" x14ac:dyDescent="0.2"/>
    <row r="110" spans="1:9" hidden="1" x14ac:dyDescent="0.2"/>
    <row r="111" spans="1:9" ht="35.25" customHeight="1" thickBot="1" x14ac:dyDescent="0.25">
      <c r="B111" s="450" t="s">
        <v>304</v>
      </c>
      <c r="C111" s="450"/>
      <c r="D111" s="450"/>
      <c r="E111" s="450"/>
      <c r="F111" s="450"/>
    </row>
    <row r="112" spans="1:9" ht="30" customHeight="1" x14ac:dyDescent="0.25">
      <c r="C112" s="1356" t="s">
        <v>582</v>
      </c>
      <c r="D112" s="234" t="s">
        <v>305</v>
      </c>
      <c r="E112" s="235">
        <f>SUM(D115:D181)</f>
        <v>2.5449999999999999</v>
      </c>
    </row>
    <row r="113" spans="3:5" ht="16.5" thickBot="1" x14ac:dyDescent="0.3">
      <c r="C113" s="312" t="s">
        <v>278</v>
      </c>
      <c r="D113" s="313" t="s">
        <v>273</v>
      </c>
      <c r="E113" s="314">
        <f>SUM(E115:E181)</f>
        <v>1013.197081525354</v>
      </c>
    </row>
    <row r="114" spans="3:5" ht="5.25" customHeight="1" thickBot="1" x14ac:dyDescent="0.25">
      <c r="C114" s="315"/>
      <c r="D114" s="315"/>
      <c r="E114" s="315"/>
    </row>
    <row r="115" spans="3:5" x14ac:dyDescent="0.2">
      <c r="C115" s="316" t="s">
        <v>279</v>
      </c>
      <c r="D115" s="317">
        <v>2.5999999999999999E-2</v>
      </c>
      <c r="E115" s="318">
        <v>7.5824392799999991</v>
      </c>
    </row>
    <row r="116" spans="3:5" x14ac:dyDescent="0.2">
      <c r="C116" s="319" t="s">
        <v>214</v>
      </c>
      <c r="D116" s="295">
        <v>2.5999999999999999E-2</v>
      </c>
      <c r="E116" s="296">
        <v>7.4002447039999995</v>
      </c>
    </row>
    <row r="117" spans="3:5" x14ac:dyDescent="0.2">
      <c r="C117" s="320" t="s">
        <v>152</v>
      </c>
      <c r="D117" s="295">
        <v>0.222</v>
      </c>
      <c r="E117" s="296">
        <v>64.742366160000003</v>
      </c>
    </row>
    <row r="118" spans="3:5" x14ac:dyDescent="0.2">
      <c r="C118" s="320" t="s">
        <v>31</v>
      </c>
      <c r="D118" s="295">
        <v>0.10199999999999999</v>
      </c>
      <c r="E118" s="296">
        <v>52.837654235999992</v>
      </c>
    </row>
    <row r="119" spans="3:5" x14ac:dyDescent="0.2">
      <c r="C119" s="320" t="s">
        <v>217</v>
      </c>
      <c r="D119" s="295">
        <v>7.2999999999999995E-2</v>
      </c>
      <c r="E119" s="296">
        <v>21.289156439999996</v>
      </c>
    </row>
    <row r="120" spans="3:5" x14ac:dyDescent="0.2">
      <c r="C120" s="320" t="s">
        <v>219</v>
      </c>
      <c r="D120" s="295">
        <v>0.01</v>
      </c>
      <c r="E120" s="296">
        <v>2.9163227999999997</v>
      </c>
    </row>
    <row r="121" spans="3:5" x14ac:dyDescent="0.2">
      <c r="C121" s="320" t="s">
        <v>220</v>
      </c>
      <c r="D121" s="295">
        <v>0.01</v>
      </c>
      <c r="E121" s="296">
        <v>2.9163227999999997</v>
      </c>
    </row>
    <row r="122" spans="3:5" x14ac:dyDescent="0.2">
      <c r="C122" s="320" t="s">
        <v>41</v>
      </c>
      <c r="D122" s="295">
        <v>6.0000000000000001E-3</v>
      </c>
      <c r="E122" s="296">
        <v>1.74979368</v>
      </c>
    </row>
    <row r="123" spans="3:5" x14ac:dyDescent="0.2">
      <c r="C123" s="319" t="s">
        <v>222</v>
      </c>
      <c r="D123" s="271">
        <v>6.0000000000000001E-3</v>
      </c>
      <c r="E123" s="265">
        <v>1.8776928000000002</v>
      </c>
    </row>
    <row r="124" spans="3:5" x14ac:dyDescent="0.2">
      <c r="C124" s="320" t="s">
        <v>226</v>
      </c>
      <c r="D124" s="295">
        <v>5.4999999999999997E-3</v>
      </c>
      <c r="E124" s="296">
        <v>1.7212183999999999</v>
      </c>
    </row>
    <row r="125" spans="3:5" x14ac:dyDescent="0.2">
      <c r="C125" s="320" t="s">
        <v>227</v>
      </c>
      <c r="D125" s="295">
        <v>7.1500000000000008E-2</v>
      </c>
      <c r="E125" s="296">
        <v>20.990251399999998</v>
      </c>
    </row>
    <row r="126" spans="3:5" x14ac:dyDescent="0.2">
      <c r="C126" s="320" t="s">
        <v>161</v>
      </c>
      <c r="D126" s="295">
        <v>5.3E-3</v>
      </c>
      <c r="E126" s="296">
        <v>1.6586286400000001</v>
      </c>
    </row>
    <row r="127" spans="3:5" x14ac:dyDescent="0.2">
      <c r="C127" s="320" t="s">
        <v>263</v>
      </c>
      <c r="D127" s="295">
        <v>6.0000000000000001E-3</v>
      </c>
      <c r="E127" s="296">
        <v>1.74979368</v>
      </c>
    </row>
    <row r="128" spans="3:5" x14ac:dyDescent="0.2">
      <c r="C128" s="320" t="s">
        <v>228</v>
      </c>
      <c r="D128" s="295">
        <v>2.5000000000000001E-3</v>
      </c>
      <c r="E128" s="296">
        <v>0.72908069999999991</v>
      </c>
    </row>
    <row r="129" spans="3:5" x14ac:dyDescent="0.2">
      <c r="C129" s="320" t="s">
        <v>282</v>
      </c>
      <c r="D129" s="295">
        <v>2.5999999999999999E-2</v>
      </c>
      <c r="E129" s="296">
        <v>13.468421668</v>
      </c>
    </row>
    <row r="130" spans="3:5" x14ac:dyDescent="0.2">
      <c r="C130" s="320" t="s">
        <v>283</v>
      </c>
      <c r="D130" s="295">
        <v>2.4E-2</v>
      </c>
      <c r="E130" s="296">
        <v>7.5107712000000006</v>
      </c>
    </row>
    <row r="131" spans="3:5" x14ac:dyDescent="0.2">
      <c r="C131" s="320" t="s">
        <v>284</v>
      </c>
      <c r="D131" s="295">
        <v>6.0000000000000001E-3</v>
      </c>
      <c r="E131" s="296">
        <v>1.74979368</v>
      </c>
    </row>
    <row r="132" spans="3:5" x14ac:dyDescent="0.2">
      <c r="C132" s="320" t="s">
        <v>285</v>
      </c>
      <c r="D132" s="295">
        <v>0.02</v>
      </c>
      <c r="E132" s="296">
        <v>10.36032436</v>
      </c>
    </row>
    <row r="133" spans="3:5" x14ac:dyDescent="0.2">
      <c r="C133" s="320" t="s">
        <v>108</v>
      </c>
      <c r="D133" s="295">
        <v>4.0000000000000001E-3</v>
      </c>
      <c r="E133" s="296">
        <v>1.1665291199999999</v>
      </c>
    </row>
    <row r="134" spans="3:5" x14ac:dyDescent="0.2">
      <c r="C134" s="320" t="s">
        <v>286</v>
      </c>
      <c r="D134" s="295">
        <v>2E-3</v>
      </c>
      <c r="E134" s="296">
        <v>0.62589760000000005</v>
      </c>
    </row>
    <row r="135" spans="3:5" x14ac:dyDescent="0.2">
      <c r="C135" s="320" t="s">
        <v>287</v>
      </c>
      <c r="D135" s="295">
        <v>0.01</v>
      </c>
      <c r="E135" s="296">
        <v>2.9163227999999997</v>
      </c>
    </row>
    <row r="136" spans="3:5" x14ac:dyDescent="0.2">
      <c r="C136" s="320" t="s">
        <v>288</v>
      </c>
      <c r="D136" s="295">
        <v>0.01</v>
      </c>
      <c r="E136" s="296">
        <v>2.9163227999999997</v>
      </c>
    </row>
    <row r="137" spans="3:5" x14ac:dyDescent="0.2">
      <c r="C137" s="320" t="s">
        <v>233</v>
      </c>
      <c r="D137" s="295">
        <v>5.0000000000000001E-3</v>
      </c>
      <c r="E137" s="296">
        <v>1.4581613999999998</v>
      </c>
    </row>
    <row r="138" spans="3:5" x14ac:dyDescent="0.2">
      <c r="C138" s="320" t="s">
        <v>267</v>
      </c>
      <c r="D138" s="295">
        <v>3.2099999999999997E-2</v>
      </c>
      <c r="E138" s="296">
        <v>16.041782368</v>
      </c>
    </row>
    <row r="139" spans="3:5" x14ac:dyDescent="0.2">
      <c r="C139" s="319" t="s">
        <v>55</v>
      </c>
      <c r="D139" s="271">
        <v>3.5999999999999999E-3</v>
      </c>
      <c r="E139" s="265">
        <v>0.228152462004</v>
      </c>
    </row>
    <row r="140" spans="3:5" x14ac:dyDescent="0.2">
      <c r="C140" s="320" t="s">
        <v>239</v>
      </c>
      <c r="D140" s="295">
        <v>0.12</v>
      </c>
      <c r="E140" s="296">
        <v>62.161946159999992</v>
      </c>
    </row>
    <row r="141" spans="3:5" x14ac:dyDescent="0.2">
      <c r="C141" s="320" t="s">
        <v>70</v>
      </c>
      <c r="D141" s="295">
        <v>5.0000000000000001E-3</v>
      </c>
      <c r="E141" s="296">
        <v>1.4581613999999998</v>
      </c>
    </row>
    <row r="142" spans="3:5" x14ac:dyDescent="0.2">
      <c r="C142" s="320" t="s">
        <v>172</v>
      </c>
      <c r="D142" s="295">
        <v>5.3999999999999999E-2</v>
      </c>
      <c r="E142" s="296">
        <v>26.089998042600001</v>
      </c>
    </row>
    <row r="143" spans="3:5" x14ac:dyDescent="0.2">
      <c r="C143" s="320" t="s">
        <v>290</v>
      </c>
      <c r="D143" s="295">
        <v>1.2E-2</v>
      </c>
      <c r="E143" s="296">
        <v>3.3487276188000004</v>
      </c>
    </row>
    <row r="144" spans="3:5" x14ac:dyDescent="0.2">
      <c r="C144" s="320" t="s">
        <v>111</v>
      </c>
      <c r="D144" s="295">
        <v>4.0000000000000001E-3</v>
      </c>
      <c r="E144" s="296">
        <v>1.1162425396000002</v>
      </c>
    </row>
    <row r="145" spans="3:5" x14ac:dyDescent="0.2">
      <c r="C145" s="320" t="s">
        <v>189</v>
      </c>
      <c r="D145" s="295">
        <v>1.3499999999999998E-2</v>
      </c>
      <c r="E145" s="296">
        <v>3.5538718598999997</v>
      </c>
    </row>
    <row r="146" spans="3:5" x14ac:dyDescent="0.2">
      <c r="C146" s="320" t="s">
        <v>291</v>
      </c>
      <c r="D146" s="295">
        <v>1.3000000000000001E-2</v>
      </c>
      <c r="E146" s="296">
        <v>5.6212304211999999</v>
      </c>
    </row>
    <row r="147" spans="3:5" x14ac:dyDescent="0.2">
      <c r="C147" s="320" t="s">
        <v>112</v>
      </c>
      <c r="D147" s="295">
        <v>5.8999999999999997E-2</v>
      </c>
      <c r="E147" s="296">
        <v>23.811726631100001</v>
      </c>
    </row>
    <row r="148" spans="3:5" x14ac:dyDescent="0.2">
      <c r="C148" s="320" t="s">
        <v>114</v>
      </c>
      <c r="D148" s="295">
        <v>6.2E-2</v>
      </c>
      <c r="E148" s="296">
        <v>36.192983599999998</v>
      </c>
    </row>
    <row r="149" spans="3:5" x14ac:dyDescent="0.2">
      <c r="C149" s="320" t="s">
        <v>116</v>
      </c>
      <c r="D149" s="295">
        <v>3.7999999999999999E-2</v>
      </c>
      <c r="E149" s="296">
        <v>10.604304126200001</v>
      </c>
    </row>
    <row r="150" spans="3:5" x14ac:dyDescent="0.2">
      <c r="C150" s="320" t="s">
        <v>122</v>
      </c>
      <c r="D150" s="295">
        <v>4.5999999999999999E-2</v>
      </c>
      <c r="E150" s="296">
        <v>12.836789205400001</v>
      </c>
    </row>
    <row r="151" spans="3:5" x14ac:dyDescent="0.2">
      <c r="C151" s="320" t="s">
        <v>269</v>
      </c>
      <c r="D151" s="295">
        <v>1.2999999999999999E-2</v>
      </c>
      <c r="E151" s="296">
        <v>3.6277882537000004</v>
      </c>
    </row>
    <row r="152" spans="3:5" x14ac:dyDescent="0.2">
      <c r="C152" s="320" t="s">
        <v>174</v>
      </c>
      <c r="D152" s="295">
        <v>0.104</v>
      </c>
      <c r="E152" s="296">
        <v>60.710811199999995</v>
      </c>
    </row>
    <row r="153" spans="3:5" x14ac:dyDescent="0.2">
      <c r="C153" s="320" t="s">
        <v>292</v>
      </c>
      <c r="D153" s="295">
        <v>0.02</v>
      </c>
      <c r="E153" s="296">
        <v>10.245999999999999</v>
      </c>
    </row>
    <row r="154" spans="3:5" x14ac:dyDescent="0.2">
      <c r="C154" s="320" t="s">
        <v>293</v>
      </c>
      <c r="D154" s="295">
        <v>0.03</v>
      </c>
      <c r="E154" s="296">
        <v>8.0663436809999993</v>
      </c>
    </row>
    <row r="155" spans="3:5" x14ac:dyDescent="0.2">
      <c r="C155" s="320" t="s">
        <v>123</v>
      </c>
      <c r="D155" s="295">
        <v>3.4700000000000002E-2</v>
      </c>
      <c r="E155" s="296">
        <v>11.567795815850001</v>
      </c>
    </row>
    <row r="156" spans="3:5" x14ac:dyDescent="0.2">
      <c r="C156" s="320" t="s">
        <v>294</v>
      </c>
      <c r="D156" s="295">
        <v>1.4999999999999999E-2</v>
      </c>
      <c r="E156" s="296">
        <v>4.3744841999999995</v>
      </c>
    </row>
    <row r="157" spans="3:5" x14ac:dyDescent="0.2">
      <c r="C157" s="320" t="s">
        <v>192</v>
      </c>
      <c r="D157" s="295">
        <v>3.6999999999999998E-2</v>
      </c>
      <c r="E157" s="296">
        <v>9.8431300679000007</v>
      </c>
    </row>
    <row r="158" spans="3:5" x14ac:dyDescent="0.2">
      <c r="C158" s="320" t="s">
        <v>84</v>
      </c>
      <c r="D158" s="295">
        <v>0.12</v>
      </c>
      <c r="E158" s="296">
        <v>33.487276188000003</v>
      </c>
    </row>
    <row r="159" spans="3:5" x14ac:dyDescent="0.2">
      <c r="C159" s="320" t="s">
        <v>129</v>
      </c>
      <c r="D159" s="295">
        <v>4.9000000000000002E-2</v>
      </c>
      <c r="E159" s="296">
        <v>15.868458029099999</v>
      </c>
    </row>
    <row r="160" spans="3:5" x14ac:dyDescent="0.2">
      <c r="C160" s="320" t="s">
        <v>131</v>
      </c>
      <c r="D160" s="295">
        <v>3.2000000000000001E-2</v>
      </c>
      <c r="E160" s="296">
        <v>11.378990040800002</v>
      </c>
    </row>
    <row r="161" spans="3:5" x14ac:dyDescent="0.2">
      <c r="C161" s="320" t="s">
        <v>295</v>
      </c>
      <c r="D161" s="295">
        <v>1.4E-2</v>
      </c>
      <c r="E161" s="296">
        <v>7.2522270520000003</v>
      </c>
    </row>
    <row r="162" spans="3:5" x14ac:dyDescent="0.2">
      <c r="C162" s="320" t="s">
        <v>247</v>
      </c>
      <c r="D162" s="295">
        <v>0.01</v>
      </c>
      <c r="E162" s="296">
        <v>5.1801621799999999</v>
      </c>
    </row>
    <row r="163" spans="3:5" x14ac:dyDescent="0.2">
      <c r="C163" s="320" t="s">
        <v>248</v>
      </c>
      <c r="D163" s="295">
        <v>0.15500000000000003</v>
      </c>
      <c r="E163" s="296">
        <v>80.292513790000015</v>
      </c>
    </row>
    <row r="164" spans="3:5" x14ac:dyDescent="0.2">
      <c r="C164" s="320" t="s">
        <v>251</v>
      </c>
      <c r="D164" s="295">
        <v>4.0000000000000001E-3</v>
      </c>
      <c r="E164" s="296">
        <v>1.2517952000000001</v>
      </c>
    </row>
    <row r="165" spans="3:5" x14ac:dyDescent="0.2">
      <c r="C165" s="320" t="s">
        <v>86</v>
      </c>
      <c r="D165" s="295">
        <v>6.0000000000000001E-3</v>
      </c>
      <c r="E165" s="296">
        <v>3.1080973080000001</v>
      </c>
    </row>
    <row r="166" spans="3:5" x14ac:dyDescent="0.2">
      <c r="C166" s="320" t="s">
        <v>88</v>
      </c>
      <c r="D166" s="295">
        <v>6.2E-2</v>
      </c>
      <c r="E166" s="296">
        <v>24.944823329999998</v>
      </c>
    </row>
    <row r="167" spans="3:5" x14ac:dyDescent="0.2">
      <c r="C167" s="320" t="s">
        <v>180</v>
      </c>
      <c r="D167" s="295">
        <v>0.23300000000000004</v>
      </c>
      <c r="E167" s="296">
        <v>118.79425072000002</v>
      </c>
    </row>
    <row r="168" spans="3:5" x14ac:dyDescent="0.2">
      <c r="C168" s="320" t="s">
        <v>193</v>
      </c>
      <c r="D168" s="295">
        <v>0.02</v>
      </c>
      <c r="E168" s="296">
        <v>5.2061030452000008</v>
      </c>
    </row>
    <row r="169" spans="3:5" x14ac:dyDescent="0.2">
      <c r="C169" s="320" t="s">
        <v>134</v>
      </c>
      <c r="D169" s="295">
        <v>8.0000000000000002E-3</v>
      </c>
      <c r="E169" s="296">
        <v>2.1285115603999998</v>
      </c>
    </row>
    <row r="170" spans="3:5" x14ac:dyDescent="0.2">
      <c r="C170" s="320" t="s">
        <v>261</v>
      </c>
      <c r="D170" s="295">
        <v>4.0000000000000001E-3</v>
      </c>
      <c r="E170" s="296">
        <v>1.0755124908</v>
      </c>
    </row>
    <row r="171" spans="3:5" x14ac:dyDescent="0.2">
      <c r="C171" s="320" t="s">
        <v>136</v>
      </c>
      <c r="D171" s="295">
        <v>3.5999999999999997E-2</v>
      </c>
      <c r="E171" s="296">
        <v>15.157797758999997</v>
      </c>
    </row>
    <row r="172" spans="3:5" x14ac:dyDescent="0.2">
      <c r="C172" s="320" t="s">
        <v>94</v>
      </c>
      <c r="D172" s="295">
        <v>2.8000000000000001E-2</v>
      </c>
      <c r="E172" s="296">
        <v>7.5285874356000004</v>
      </c>
    </row>
    <row r="173" spans="3:5" x14ac:dyDescent="0.2">
      <c r="C173" s="320" t="s">
        <v>254</v>
      </c>
      <c r="D173" s="295">
        <v>8.2000000000000003E-2</v>
      </c>
      <c r="E173" s="296">
        <v>22.882972061800004</v>
      </c>
    </row>
    <row r="174" spans="3:5" x14ac:dyDescent="0.2">
      <c r="C174" s="320" t="s">
        <v>182</v>
      </c>
      <c r="D174" s="295">
        <v>0.01</v>
      </c>
      <c r="E174" s="296">
        <v>4.1886711514000003</v>
      </c>
    </row>
    <row r="175" spans="3:5" x14ac:dyDescent="0.2">
      <c r="C175" s="320" t="s">
        <v>299</v>
      </c>
      <c r="D175" s="295">
        <v>8.0000000000000002E-3</v>
      </c>
      <c r="E175" s="296">
        <v>2.2324850792000004</v>
      </c>
    </row>
    <row r="176" spans="3:5" x14ac:dyDescent="0.2">
      <c r="C176" s="320" t="s">
        <v>144</v>
      </c>
      <c r="D176" s="295">
        <v>1.6E-2</v>
      </c>
      <c r="E176" s="296">
        <v>4.2119962784</v>
      </c>
    </row>
    <row r="177" spans="3:5" x14ac:dyDescent="0.2">
      <c r="C177" s="320" t="s">
        <v>145</v>
      </c>
      <c r="D177" s="295">
        <v>0.13700000000000001</v>
      </c>
      <c r="E177" s="296">
        <v>60.624576787999999</v>
      </c>
    </row>
    <row r="178" spans="3:5" x14ac:dyDescent="0.2">
      <c r="C178" s="320" t="s">
        <v>96</v>
      </c>
      <c r="D178" s="295">
        <v>3.9E-2</v>
      </c>
      <c r="E178" s="296">
        <v>16.3699099637</v>
      </c>
    </row>
    <row r="179" spans="3:5" x14ac:dyDescent="0.2">
      <c r="C179" s="320" t="s">
        <v>97</v>
      </c>
      <c r="D179" s="295">
        <v>3.6499999999999998E-2</v>
      </c>
      <c r="E179" s="296">
        <v>9.6620858854500007</v>
      </c>
    </row>
    <row r="180" spans="3:5" x14ac:dyDescent="0.2">
      <c r="C180" s="320" t="s">
        <v>270</v>
      </c>
      <c r="D180" s="295">
        <v>1.4500000000000001E-2</v>
      </c>
      <c r="E180" s="296">
        <v>3.8171216273000002</v>
      </c>
    </row>
    <row r="181" spans="3:5" ht="13.5" thickBot="1" x14ac:dyDescent="0.25">
      <c r="C181" s="321" t="s">
        <v>301</v>
      </c>
      <c r="D181" s="322">
        <v>2.6299999999999997E-2</v>
      </c>
      <c r="E181" s="323">
        <v>12.71637655995</v>
      </c>
    </row>
    <row r="182" spans="3:5" ht="13.5" thickBot="1" x14ac:dyDescent="0.25">
      <c r="C182" s="324" t="s">
        <v>581</v>
      </c>
      <c r="D182" s="325">
        <f>SUM(D115:D181)</f>
        <v>2.5449999999999999</v>
      </c>
      <c r="E182" s="326">
        <f>SUM(E115:E181)</f>
        <v>1013.197081525354</v>
      </c>
    </row>
  </sheetData>
  <autoFilter ref="B5:F104"/>
  <mergeCells count="1">
    <mergeCell ref="B111:F11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8"/>
  <sheetViews>
    <sheetView showWhiteSpace="0" zoomScaleNormal="100" workbookViewId="0">
      <pane xSplit="2" ySplit="5" topLeftCell="C15" activePane="bottomRight" state="frozen"/>
      <selection pane="topRight" activeCell="C1" sqref="C1"/>
      <selection pane="bottomLeft" activeCell="A14" sqref="A14"/>
      <selection pane="bottomRight" activeCell="B43" sqref="B43"/>
    </sheetView>
  </sheetViews>
  <sheetFormatPr defaultRowHeight="12.75" x14ac:dyDescent="0.2"/>
  <cols>
    <col min="1" max="1" width="5.7109375" customWidth="1"/>
    <col min="2" max="2" width="25.85546875" customWidth="1"/>
    <col min="3" max="3" width="6.28515625" customWidth="1"/>
    <col min="4" max="4" width="13.28515625" hidden="1" customWidth="1"/>
    <col min="5" max="5" width="15.7109375" customWidth="1"/>
    <col min="6" max="6" width="5.85546875" hidden="1" customWidth="1"/>
    <col min="7" max="7" width="5.140625" hidden="1" customWidth="1"/>
    <col min="8" max="8" width="6" hidden="1" customWidth="1"/>
    <col min="9" max="9" width="8.85546875" hidden="1" customWidth="1"/>
    <col min="10" max="10" width="38.7109375" hidden="1" customWidth="1"/>
    <col min="11" max="11" width="7.140625" hidden="1" customWidth="1"/>
    <col min="12" max="12" width="8.7109375" hidden="1" customWidth="1"/>
    <col min="13" max="13" width="10.140625" hidden="1" customWidth="1"/>
    <col min="14" max="14" width="19.140625" style="400" hidden="1" customWidth="1"/>
    <col min="15" max="15" width="8.85546875" customWidth="1"/>
    <col min="16" max="16" width="9.85546875" customWidth="1"/>
    <col min="17" max="17" width="8.28515625" customWidth="1"/>
    <col min="18" max="18" width="11.42578125" customWidth="1"/>
  </cols>
  <sheetData>
    <row r="1" spans="1:18" ht="15.75" customHeight="1" x14ac:dyDescent="0.25">
      <c r="A1" s="462" t="s">
        <v>306</v>
      </c>
      <c r="B1" s="462"/>
      <c r="C1" s="462"/>
      <c r="D1" s="462"/>
      <c r="E1" s="462"/>
      <c r="F1" s="462"/>
      <c r="G1" s="462"/>
      <c r="H1" s="462"/>
      <c r="I1" s="462"/>
      <c r="J1" s="462"/>
      <c r="K1" s="328"/>
      <c r="L1" s="328"/>
      <c r="M1" s="328"/>
      <c r="N1" s="329"/>
      <c r="O1" s="328"/>
      <c r="P1" s="328"/>
      <c r="Q1" s="330"/>
      <c r="R1" s="330"/>
    </row>
    <row r="2" spans="1:18" ht="16.5" thickBot="1" x14ac:dyDescent="0.3">
      <c r="A2" s="444"/>
      <c r="B2" s="444"/>
      <c r="C2" s="444"/>
      <c r="D2" s="444"/>
      <c r="E2" s="444"/>
      <c r="F2" s="444"/>
      <c r="G2" s="444"/>
      <c r="H2" s="444"/>
      <c r="I2" s="444"/>
      <c r="J2" s="444"/>
      <c r="K2" s="331"/>
      <c r="L2" s="331"/>
      <c r="M2" s="331"/>
      <c r="N2" s="332"/>
      <c r="O2" s="331"/>
      <c r="P2" s="331"/>
      <c r="Q2" s="330"/>
      <c r="R2" s="330"/>
    </row>
    <row r="3" spans="1:18" ht="16.5" thickBot="1" x14ac:dyDescent="0.35">
      <c r="A3" s="460" t="s">
        <v>6</v>
      </c>
      <c r="B3" s="417" t="s">
        <v>7</v>
      </c>
      <c r="C3" s="906" t="s">
        <v>307</v>
      </c>
      <c r="D3" s="866" t="s">
        <v>308</v>
      </c>
      <c r="E3" s="876" t="s">
        <v>309</v>
      </c>
      <c r="F3" s="866" t="s">
        <v>310</v>
      </c>
      <c r="G3" s="452"/>
      <c r="H3" s="451" t="s">
        <v>311</v>
      </c>
      <c r="I3" s="452"/>
      <c r="J3" s="453" t="s">
        <v>212</v>
      </c>
      <c r="K3" s="333"/>
      <c r="L3" s="334"/>
      <c r="M3" s="335" t="s">
        <v>312</v>
      </c>
      <c r="N3" s="336"/>
      <c r="O3" s="455" t="s">
        <v>313</v>
      </c>
      <c r="P3" s="456"/>
      <c r="Q3" s="456"/>
      <c r="R3" s="457"/>
    </row>
    <row r="4" spans="1:18" ht="16.5" thickBot="1" x14ac:dyDescent="0.35">
      <c r="A4" s="461"/>
      <c r="B4" s="665"/>
      <c r="C4" s="907"/>
      <c r="D4" s="903"/>
      <c r="E4" s="877"/>
      <c r="F4" s="867"/>
      <c r="G4" s="339"/>
      <c r="H4" s="338"/>
      <c r="I4" s="339"/>
      <c r="J4" s="454"/>
      <c r="K4" s="340" t="s">
        <v>315</v>
      </c>
      <c r="L4" s="341" t="s">
        <v>316</v>
      </c>
      <c r="M4" s="341" t="s">
        <v>316</v>
      </c>
      <c r="N4" s="342"/>
      <c r="O4" s="458" t="s">
        <v>10</v>
      </c>
      <c r="P4" s="459"/>
      <c r="Q4" s="458" t="s">
        <v>317</v>
      </c>
      <c r="R4" s="459"/>
    </row>
    <row r="5" spans="1:18" ht="16.5" thickBot="1" x14ac:dyDescent="0.35">
      <c r="A5" s="463"/>
      <c r="B5" s="665"/>
      <c r="C5" s="907"/>
      <c r="D5" s="903"/>
      <c r="E5" s="877"/>
      <c r="F5" s="868" t="s">
        <v>211</v>
      </c>
      <c r="G5" s="344" t="s">
        <v>319</v>
      </c>
      <c r="H5" s="343" t="s">
        <v>211</v>
      </c>
      <c r="I5" s="344" t="s">
        <v>319</v>
      </c>
      <c r="J5" s="454"/>
      <c r="K5" s="345"/>
      <c r="L5" s="346"/>
      <c r="M5" s="346"/>
      <c r="N5" s="342"/>
      <c r="O5" s="347" t="s">
        <v>307</v>
      </c>
      <c r="P5" s="348" t="s">
        <v>320</v>
      </c>
      <c r="Q5" s="347" t="s">
        <v>307</v>
      </c>
      <c r="R5" s="349" t="s">
        <v>320</v>
      </c>
    </row>
    <row r="6" spans="1:18" ht="12" customHeight="1" thickBot="1" x14ac:dyDescent="0.35">
      <c r="A6" s="350"/>
      <c r="B6" s="899"/>
      <c r="C6" s="908"/>
      <c r="D6" s="869"/>
      <c r="E6" s="878"/>
      <c r="F6" s="869"/>
      <c r="G6" s="352"/>
      <c r="H6" s="351"/>
      <c r="I6" s="353"/>
      <c r="J6" s="354"/>
      <c r="K6" s="355"/>
      <c r="L6" s="356"/>
      <c r="M6" s="356"/>
      <c r="N6" s="357"/>
      <c r="O6" s="358"/>
      <c r="P6" s="359"/>
      <c r="Q6" s="358"/>
      <c r="R6" s="360"/>
    </row>
    <row r="7" spans="1:18" ht="15.75" customHeight="1" x14ac:dyDescent="0.3">
      <c r="A7" s="367">
        <v>1</v>
      </c>
      <c r="B7" s="900" t="s">
        <v>222</v>
      </c>
      <c r="C7" s="879">
        <v>2</v>
      </c>
      <c r="D7" s="872">
        <v>4</v>
      </c>
      <c r="E7" s="879"/>
      <c r="F7" s="870"/>
      <c r="G7" s="368"/>
      <c r="H7" s="368">
        <v>2</v>
      </c>
      <c r="I7" s="368">
        <v>4</v>
      </c>
      <c r="J7" s="370" t="s">
        <v>321</v>
      </c>
      <c r="K7" s="371">
        <v>1</v>
      </c>
      <c r="L7" s="372"/>
      <c r="M7" s="372"/>
      <c r="N7" s="373" t="s">
        <v>322</v>
      </c>
      <c r="O7" s="840">
        <v>2</v>
      </c>
      <c r="P7" s="841">
        <v>26.774999999999999</v>
      </c>
      <c r="Q7" s="378"/>
      <c r="R7" s="379"/>
    </row>
    <row r="8" spans="1:18" ht="15.75" customHeight="1" x14ac:dyDescent="0.3">
      <c r="A8" s="367">
        <f>A7+1</f>
        <v>2</v>
      </c>
      <c r="B8" s="901" t="s">
        <v>227</v>
      </c>
      <c r="C8" s="880">
        <v>1</v>
      </c>
      <c r="D8" s="904">
        <v>6</v>
      </c>
      <c r="E8" s="880"/>
      <c r="F8" s="871">
        <v>1</v>
      </c>
      <c r="G8" s="375">
        <v>6</v>
      </c>
      <c r="H8" s="374"/>
      <c r="I8" s="375"/>
      <c r="J8" s="370" t="s">
        <v>323</v>
      </c>
      <c r="K8" s="371"/>
      <c r="L8" s="372">
        <v>6</v>
      </c>
      <c r="M8" s="372"/>
      <c r="N8" s="373" t="s">
        <v>323</v>
      </c>
      <c r="O8" s="840">
        <v>3</v>
      </c>
      <c r="P8" s="841">
        <v>26.806999999999999</v>
      </c>
      <c r="Q8" s="378"/>
      <c r="R8" s="379"/>
    </row>
    <row r="9" spans="1:18" ht="20.45" customHeight="1" x14ac:dyDescent="0.3">
      <c r="A9" s="367">
        <f t="shared" ref="A9:A16" si="0">A8+1</f>
        <v>3</v>
      </c>
      <c r="B9" s="900" t="s">
        <v>114</v>
      </c>
      <c r="C9" s="879">
        <v>2</v>
      </c>
      <c r="D9" s="872">
        <v>4</v>
      </c>
      <c r="E9" s="879"/>
      <c r="F9" s="872"/>
      <c r="G9" s="369"/>
      <c r="H9" s="369">
        <v>2</v>
      </c>
      <c r="I9" s="369">
        <v>4</v>
      </c>
      <c r="J9" s="370" t="s">
        <v>325</v>
      </c>
      <c r="K9" s="371">
        <v>12</v>
      </c>
      <c r="L9" s="372"/>
      <c r="M9" s="372"/>
      <c r="N9" s="373" t="s">
        <v>326</v>
      </c>
      <c r="O9" s="840">
        <v>0.1</v>
      </c>
      <c r="P9" s="841">
        <v>70.497</v>
      </c>
      <c r="Q9" s="378"/>
      <c r="R9" s="379"/>
    </row>
    <row r="10" spans="1:18" ht="20.45" customHeight="1" x14ac:dyDescent="0.2">
      <c r="A10" s="367">
        <f t="shared" si="0"/>
        <v>4</v>
      </c>
      <c r="B10" s="900" t="s">
        <v>117</v>
      </c>
      <c r="C10" s="879">
        <v>2</v>
      </c>
      <c r="D10" s="872">
        <v>4</v>
      </c>
      <c r="E10" s="879"/>
      <c r="F10" s="872"/>
      <c r="G10" s="369"/>
      <c r="H10" s="368">
        <v>2</v>
      </c>
      <c r="I10" s="369">
        <v>4</v>
      </c>
      <c r="J10" s="370" t="s">
        <v>327</v>
      </c>
      <c r="K10" s="371">
        <v>11</v>
      </c>
      <c r="L10" s="372"/>
      <c r="M10" s="372"/>
      <c r="N10" s="373" t="s">
        <v>328</v>
      </c>
      <c r="O10" s="842"/>
      <c r="P10" s="843"/>
      <c r="Q10" s="840">
        <v>1</v>
      </c>
      <c r="R10" s="841">
        <v>7.6429</v>
      </c>
    </row>
    <row r="11" spans="1:18" ht="20.45" customHeight="1" x14ac:dyDescent="0.2">
      <c r="A11" s="367">
        <f t="shared" si="0"/>
        <v>5</v>
      </c>
      <c r="B11" s="900" t="s">
        <v>175</v>
      </c>
      <c r="C11" s="879">
        <v>2</v>
      </c>
      <c r="D11" s="872">
        <v>4</v>
      </c>
      <c r="E11" s="879"/>
      <c r="F11" s="872"/>
      <c r="G11" s="369"/>
      <c r="H11" s="369">
        <v>2</v>
      </c>
      <c r="I11" s="369">
        <v>4</v>
      </c>
      <c r="J11" s="370" t="s">
        <v>329</v>
      </c>
      <c r="K11" s="371"/>
      <c r="L11" s="372"/>
      <c r="M11" s="372"/>
      <c r="N11" s="373"/>
      <c r="O11" s="842"/>
      <c r="P11" s="843"/>
      <c r="Q11" s="840">
        <v>4</v>
      </c>
      <c r="R11" s="841">
        <v>38.363999999999997</v>
      </c>
    </row>
    <row r="12" spans="1:18" ht="20.45" customHeight="1" x14ac:dyDescent="0.3">
      <c r="A12" s="367">
        <f t="shared" si="0"/>
        <v>6</v>
      </c>
      <c r="B12" s="900" t="s">
        <v>81</v>
      </c>
      <c r="C12" s="879">
        <v>1</v>
      </c>
      <c r="D12" s="872">
        <v>2</v>
      </c>
      <c r="E12" s="879"/>
      <c r="F12" s="872"/>
      <c r="G12" s="369"/>
      <c r="H12" s="368">
        <v>1</v>
      </c>
      <c r="I12" s="369">
        <v>2</v>
      </c>
      <c r="J12" s="370" t="s">
        <v>330</v>
      </c>
      <c r="K12" s="371"/>
      <c r="L12" s="372"/>
      <c r="M12" s="372"/>
      <c r="N12" s="373"/>
      <c r="O12" s="378"/>
      <c r="P12" s="379"/>
      <c r="Q12" s="380">
        <v>2</v>
      </c>
      <c r="R12" s="381">
        <v>15.2857</v>
      </c>
    </row>
    <row r="13" spans="1:18" ht="20.45" customHeight="1" x14ac:dyDescent="0.2">
      <c r="A13" s="367">
        <f t="shared" si="0"/>
        <v>7</v>
      </c>
      <c r="B13" s="900" t="s">
        <v>243</v>
      </c>
      <c r="C13" s="879">
        <v>2</v>
      </c>
      <c r="D13" s="872">
        <v>4</v>
      </c>
      <c r="E13" s="879"/>
      <c r="F13" s="872"/>
      <c r="G13" s="369"/>
      <c r="H13" s="368">
        <v>2</v>
      </c>
      <c r="I13" s="369">
        <v>4</v>
      </c>
      <c r="J13" s="370" t="s">
        <v>331</v>
      </c>
      <c r="K13" s="371"/>
      <c r="L13" s="372"/>
      <c r="M13" s="372"/>
      <c r="N13" s="373"/>
      <c r="O13" s="842"/>
      <c r="P13" s="843"/>
      <c r="Q13" s="840">
        <v>2</v>
      </c>
      <c r="R13" s="841">
        <v>15.2857</v>
      </c>
    </row>
    <row r="14" spans="1:18" ht="20.45" customHeight="1" x14ac:dyDescent="0.2">
      <c r="A14" s="367">
        <f t="shared" si="0"/>
        <v>8</v>
      </c>
      <c r="B14" s="900" t="s">
        <v>248</v>
      </c>
      <c r="C14" s="881">
        <v>2</v>
      </c>
      <c r="D14" s="873">
        <v>4</v>
      </c>
      <c r="E14" s="881"/>
      <c r="F14" s="873"/>
      <c r="G14" s="362"/>
      <c r="H14" s="362">
        <v>2</v>
      </c>
      <c r="I14" s="362">
        <v>4</v>
      </c>
      <c r="J14" s="363" t="s">
        <v>332</v>
      </c>
      <c r="K14" s="364"/>
      <c r="L14" s="365"/>
      <c r="M14" s="365"/>
      <c r="N14" s="366"/>
      <c r="O14" s="842"/>
      <c r="P14" s="843"/>
      <c r="Q14" s="840">
        <v>7</v>
      </c>
      <c r="R14" s="841">
        <v>53.5</v>
      </c>
    </row>
    <row r="15" spans="1:18" ht="20.45" customHeight="1" x14ac:dyDescent="0.2">
      <c r="A15" s="367">
        <f t="shared" si="0"/>
        <v>9</v>
      </c>
      <c r="B15" s="900" t="s">
        <v>180</v>
      </c>
      <c r="C15" s="881">
        <v>2</v>
      </c>
      <c r="D15" s="873">
        <v>4</v>
      </c>
      <c r="E15" s="881"/>
      <c r="F15" s="873"/>
      <c r="G15" s="362"/>
      <c r="H15" s="361">
        <v>2</v>
      </c>
      <c r="I15" s="362">
        <v>4</v>
      </c>
      <c r="J15" s="363" t="s">
        <v>333</v>
      </c>
      <c r="K15" s="364"/>
      <c r="L15" s="365"/>
      <c r="M15" s="365"/>
      <c r="N15" s="366"/>
      <c r="O15" s="840">
        <v>8</v>
      </c>
      <c r="P15" s="841">
        <v>22.497900000000001</v>
      </c>
      <c r="Q15" s="842"/>
      <c r="R15" s="843"/>
    </row>
    <row r="16" spans="1:18" ht="20.45" customHeight="1" thickBot="1" x14ac:dyDescent="0.35">
      <c r="A16" s="367">
        <f t="shared" si="0"/>
        <v>10</v>
      </c>
      <c r="B16" s="901" t="s">
        <v>334</v>
      </c>
      <c r="C16" s="882">
        <v>2</v>
      </c>
      <c r="D16" s="874">
        <v>4</v>
      </c>
      <c r="E16" s="882"/>
      <c r="F16" s="874"/>
      <c r="G16" s="377"/>
      <c r="H16" s="376">
        <v>2</v>
      </c>
      <c r="I16" s="377">
        <v>4</v>
      </c>
      <c r="J16" s="363" t="s">
        <v>330</v>
      </c>
      <c r="K16" s="364">
        <v>4</v>
      </c>
      <c r="L16" s="365"/>
      <c r="M16" s="365"/>
      <c r="N16" s="366" t="s">
        <v>335</v>
      </c>
      <c r="O16" s="842"/>
      <c r="P16" s="843"/>
      <c r="Q16" s="380">
        <v>2</v>
      </c>
      <c r="R16" s="381">
        <v>15.2857</v>
      </c>
    </row>
    <row r="17" spans="1:18" ht="20.45" customHeight="1" thickBot="1" x14ac:dyDescent="0.35">
      <c r="A17" s="382"/>
      <c r="B17" s="902" t="s">
        <v>336</v>
      </c>
      <c r="C17" s="909">
        <f>SUM(C7:C16)</f>
        <v>18</v>
      </c>
      <c r="D17" s="905">
        <f>SUM(D7:D16)</f>
        <v>40</v>
      </c>
      <c r="E17" s="883">
        <f>C17*5.9</f>
        <v>106.2</v>
      </c>
      <c r="F17" s="875">
        <f>SUM(F7:F16)</f>
        <v>1</v>
      </c>
      <c r="G17" s="383">
        <f>SUM(G7:G16)</f>
        <v>6</v>
      </c>
      <c r="H17" s="383">
        <f>SUM(H7:H16)</f>
        <v>17</v>
      </c>
      <c r="I17" s="384">
        <f>SUM(I7:I16)</f>
        <v>34</v>
      </c>
      <c r="J17" s="385"/>
      <c r="K17" s="386"/>
      <c r="L17" s="387"/>
      <c r="M17" s="387"/>
      <c r="N17" s="388"/>
      <c r="O17" s="389">
        <f>SUM(O7:O16)</f>
        <v>13.1</v>
      </c>
      <c r="P17" s="389">
        <f>SUM(P7:P16)</f>
        <v>146.57689999999999</v>
      </c>
      <c r="Q17" s="389">
        <f>SUM(Q7:Q16)</f>
        <v>18</v>
      </c>
      <c r="R17" s="390">
        <f>SUM(R7:R16)</f>
        <v>145.364</v>
      </c>
    </row>
    <row r="18" spans="1:18" ht="11.25" customHeight="1" x14ac:dyDescent="0.25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391"/>
      <c r="L18" s="392"/>
      <c r="M18" s="391"/>
      <c r="N18" s="393"/>
      <c r="O18" s="844"/>
      <c r="P18" s="844"/>
      <c r="Q18" s="844"/>
      <c r="R18" s="844"/>
    </row>
    <row r="19" spans="1:18" ht="13.5" thickBot="1" x14ac:dyDescent="0.25">
      <c r="B19" s="395" t="s">
        <v>559</v>
      </c>
      <c r="K19" s="396"/>
      <c r="L19" s="397"/>
      <c r="M19" s="396"/>
      <c r="N19" s="398"/>
      <c r="O19" s="844"/>
      <c r="P19" s="844"/>
      <c r="Q19" s="844"/>
      <c r="R19" s="844"/>
    </row>
    <row r="20" spans="1:18" ht="16.5" thickBot="1" x14ac:dyDescent="0.25">
      <c r="A20" s="835" t="s">
        <v>6</v>
      </c>
      <c r="B20" s="910" t="s">
        <v>7</v>
      </c>
      <c r="C20" s="920" t="s">
        <v>307</v>
      </c>
      <c r="D20" s="917" t="s">
        <v>308</v>
      </c>
      <c r="E20" s="891" t="s">
        <v>309</v>
      </c>
      <c r="F20" s="884" t="s">
        <v>310</v>
      </c>
      <c r="G20" s="793"/>
      <c r="H20" s="792" t="s">
        <v>311</v>
      </c>
      <c r="I20" s="793"/>
      <c r="J20" s="794" t="s">
        <v>212</v>
      </c>
      <c r="K20" s="795"/>
      <c r="L20" s="796"/>
      <c r="M20" s="797" t="s">
        <v>312</v>
      </c>
      <c r="N20" s="855"/>
      <c r="O20" s="828" t="s">
        <v>313</v>
      </c>
      <c r="P20" s="829"/>
      <c r="Q20" s="829"/>
      <c r="R20" s="858"/>
    </row>
    <row r="21" spans="1:18" ht="16.5" thickBot="1" x14ac:dyDescent="0.25">
      <c r="A21" s="836"/>
      <c r="B21" s="911"/>
      <c r="C21" s="921"/>
      <c r="D21" s="918"/>
      <c r="E21" s="892"/>
      <c r="F21" s="885"/>
      <c r="G21" s="799"/>
      <c r="H21" s="798"/>
      <c r="I21" s="799"/>
      <c r="J21" s="800"/>
      <c r="K21" s="801" t="s">
        <v>315</v>
      </c>
      <c r="L21" s="802" t="s">
        <v>316</v>
      </c>
      <c r="M21" s="802" t="s">
        <v>316</v>
      </c>
      <c r="N21" s="856"/>
      <c r="O21" s="830" t="s">
        <v>10</v>
      </c>
      <c r="P21" s="860"/>
      <c r="Q21" s="830" t="s">
        <v>317</v>
      </c>
      <c r="R21" s="831"/>
    </row>
    <row r="22" spans="1:18" ht="16.5" thickBot="1" x14ac:dyDescent="0.25">
      <c r="A22" s="837"/>
      <c r="B22" s="912"/>
      <c r="C22" s="922"/>
      <c r="D22" s="919"/>
      <c r="E22" s="893"/>
      <c r="F22" s="886" t="s">
        <v>211</v>
      </c>
      <c r="G22" s="804" t="s">
        <v>319</v>
      </c>
      <c r="H22" s="803" t="s">
        <v>211</v>
      </c>
      <c r="I22" s="804" t="s">
        <v>319</v>
      </c>
      <c r="J22" s="805"/>
      <c r="K22" s="806"/>
      <c r="L22" s="807"/>
      <c r="M22" s="807"/>
      <c r="N22" s="857"/>
      <c r="O22" s="832" t="s">
        <v>307</v>
      </c>
      <c r="P22" s="861" t="s">
        <v>320</v>
      </c>
      <c r="Q22" s="833" t="s">
        <v>307</v>
      </c>
      <c r="R22" s="834" t="s">
        <v>320</v>
      </c>
    </row>
    <row r="23" spans="1:18" ht="15.75" x14ac:dyDescent="0.3">
      <c r="A23" s="838">
        <v>1</v>
      </c>
      <c r="B23" s="913" t="s">
        <v>108</v>
      </c>
      <c r="C23" s="894"/>
      <c r="D23" s="887"/>
      <c r="E23" s="894"/>
      <c r="F23" s="887"/>
      <c r="G23" s="808"/>
      <c r="H23" s="808"/>
      <c r="I23" s="809"/>
      <c r="J23" s="810"/>
      <c r="K23" s="811"/>
      <c r="L23" s="812"/>
      <c r="M23" s="812"/>
      <c r="N23" s="813"/>
      <c r="O23" s="840">
        <v>1</v>
      </c>
      <c r="P23" s="862">
        <v>13.388</v>
      </c>
      <c r="Q23" s="378"/>
      <c r="R23" s="379"/>
    </row>
    <row r="24" spans="1:18" ht="15.75" x14ac:dyDescent="0.3">
      <c r="A24" s="838">
        <f t="shared" ref="A24:A34" si="1">A23+1</f>
        <v>2</v>
      </c>
      <c r="B24" s="913" t="s">
        <v>52</v>
      </c>
      <c r="C24" s="894"/>
      <c r="D24" s="887"/>
      <c r="E24" s="894"/>
      <c r="F24" s="887"/>
      <c r="G24" s="808"/>
      <c r="H24" s="808"/>
      <c r="I24" s="809"/>
      <c r="J24" s="810"/>
      <c r="K24" s="811"/>
      <c r="L24" s="812"/>
      <c r="M24" s="812"/>
      <c r="N24" s="813"/>
      <c r="O24" s="840">
        <v>1</v>
      </c>
      <c r="P24" s="862">
        <v>13.082700000000001</v>
      </c>
      <c r="Q24" s="378"/>
      <c r="R24" s="379"/>
    </row>
    <row r="25" spans="1:18" ht="15.75" x14ac:dyDescent="0.3">
      <c r="A25" s="838">
        <f t="shared" si="1"/>
        <v>3</v>
      </c>
      <c r="B25" s="913" t="s">
        <v>337</v>
      </c>
      <c r="C25" s="894"/>
      <c r="D25" s="887"/>
      <c r="E25" s="894"/>
      <c r="F25" s="887"/>
      <c r="G25" s="808"/>
      <c r="H25" s="808"/>
      <c r="I25" s="809"/>
      <c r="J25" s="810"/>
      <c r="K25" s="811"/>
      <c r="L25" s="812"/>
      <c r="M25" s="812"/>
      <c r="N25" s="813"/>
      <c r="O25" s="840">
        <v>1</v>
      </c>
      <c r="P25" s="862">
        <v>5.9869000000000003</v>
      </c>
      <c r="Q25" s="378"/>
      <c r="R25" s="379"/>
    </row>
    <row r="26" spans="1:18" ht="15.75" x14ac:dyDescent="0.3">
      <c r="A26" s="838">
        <f t="shared" si="1"/>
        <v>4</v>
      </c>
      <c r="B26" s="913" t="s">
        <v>173</v>
      </c>
      <c r="C26" s="894"/>
      <c r="D26" s="887"/>
      <c r="E26" s="894"/>
      <c r="F26" s="887"/>
      <c r="G26" s="808"/>
      <c r="H26" s="808"/>
      <c r="I26" s="809"/>
      <c r="J26" s="810"/>
      <c r="K26" s="811">
        <v>22</v>
      </c>
      <c r="L26" s="812"/>
      <c r="M26" s="812"/>
      <c r="N26" s="814" t="s">
        <v>339</v>
      </c>
      <c r="O26" s="840">
        <v>2</v>
      </c>
      <c r="P26" s="862">
        <v>11.973800000000001</v>
      </c>
      <c r="Q26" s="378"/>
      <c r="R26" s="379"/>
    </row>
    <row r="27" spans="1:18" ht="15.75" x14ac:dyDescent="0.2">
      <c r="A27" s="838">
        <f t="shared" si="1"/>
        <v>5</v>
      </c>
      <c r="B27" s="913" t="s">
        <v>82</v>
      </c>
      <c r="C27" s="894"/>
      <c r="D27" s="887"/>
      <c r="E27" s="894"/>
      <c r="F27" s="887"/>
      <c r="G27" s="808"/>
      <c r="H27" s="808"/>
      <c r="I27" s="809"/>
      <c r="J27" s="810"/>
      <c r="K27" s="811">
        <v>1</v>
      </c>
      <c r="L27" s="812"/>
      <c r="M27" s="812"/>
      <c r="N27" s="813" t="s">
        <v>335</v>
      </c>
      <c r="O27" s="842"/>
      <c r="P27" s="863"/>
      <c r="Q27" s="840">
        <v>1</v>
      </c>
      <c r="R27" s="841">
        <v>7.6429</v>
      </c>
    </row>
    <row r="28" spans="1:18" ht="15.75" x14ac:dyDescent="0.2">
      <c r="A28" s="838">
        <f t="shared" si="1"/>
        <v>6</v>
      </c>
      <c r="B28" s="913" t="s">
        <v>83</v>
      </c>
      <c r="C28" s="895"/>
      <c r="D28" s="888"/>
      <c r="E28" s="895"/>
      <c r="F28" s="888"/>
      <c r="G28" s="815"/>
      <c r="H28" s="808"/>
      <c r="I28" s="809"/>
      <c r="J28" s="810"/>
      <c r="K28" s="811">
        <v>1</v>
      </c>
      <c r="L28" s="812"/>
      <c r="M28" s="812"/>
      <c r="N28" s="813" t="s">
        <v>335</v>
      </c>
      <c r="O28" s="842"/>
      <c r="P28" s="863"/>
      <c r="Q28" s="840">
        <v>1</v>
      </c>
      <c r="R28" s="841">
        <v>7.6429</v>
      </c>
    </row>
    <row r="29" spans="1:18" ht="15.75" x14ac:dyDescent="0.2">
      <c r="A29" s="838">
        <f t="shared" si="1"/>
        <v>7</v>
      </c>
      <c r="B29" s="913" t="s">
        <v>126</v>
      </c>
      <c r="C29" s="894"/>
      <c r="D29" s="887"/>
      <c r="E29" s="894"/>
      <c r="F29" s="887"/>
      <c r="G29" s="808"/>
      <c r="H29" s="808"/>
      <c r="I29" s="809"/>
      <c r="J29" s="810"/>
      <c r="K29" s="811">
        <v>1</v>
      </c>
      <c r="L29" s="812"/>
      <c r="M29" s="812"/>
      <c r="N29" s="813" t="s">
        <v>335</v>
      </c>
      <c r="O29" s="842"/>
      <c r="P29" s="863"/>
      <c r="Q29" s="840">
        <v>1</v>
      </c>
      <c r="R29" s="841">
        <v>7.6429</v>
      </c>
    </row>
    <row r="30" spans="1:18" ht="15.75" x14ac:dyDescent="0.2">
      <c r="A30" s="838">
        <f t="shared" si="1"/>
        <v>8</v>
      </c>
      <c r="B30" s="913" t="s">
        <v>192</v>
      </c>
      <c r="C30" s="894"/>
      <c r="D30" s="887"/>
      <c r="E30" s="894"/>
      <c r="F30" s="887"/>
      <c r="G30" s="808"/>
      <c r="H30" s="808"/>
      <c r="I30" s="809"/>
      <c r="J30" s="810"/>
      <c r="K30" s="811">
        <v>1</v>
      </c>
      <c r="L30" s="812"/>
      <c r="M30" s="812"/>
      <c r="N30" s="813" t="s">
        <v>335</v>
      </c>
      <c r="O30" s="840">
        <v>2</v>
      </c>
      <c r="P30" s="862">
        <v>12.739599999999999</v>
      </c>
      <c r="Q30" s="840">
        <v>1</v>
      </c>
      <c r="R30" s="841">
        <v>7.6429</v>
      </c>
    </row>
    <row r="31" spans="1:18" ht="15.75" x14ac:dyDescent="0.2">
      <c r="A31" s="838">
        <f t="shared" si="1"/>
        <v>9</v>
      </c>
      <c r="B31" s="913" t="s">
        <v>177</v>
      </c>
      <c r="C31" s="894"/>
      <c r="D31" s="887"/>
      <c r="E31" s="894"/>
      <c r="F31" s="887"/>
      <c r="G31" s="808"/>
      <c r="H31" s="808"/>
      <c r="I31" s="809"/>
      <c r="J31" s="810"/>
      <c r="K31" s="811"/>
      <c r="L31" s="812"/>
      <c r="M31" s="812"/>
      <c r="N31" s="813"/>
      <c r="O31" s="842"/>
      <c r="P31" s="863"/>
      <c r="Q31" s="840">
        <v>7</v>
      </c>
      <c r="R31" s="841">
        <v>67.135999999999996</v>
      </c>
    </row>
    <row r="32" spans="1:18" ht="15.75" x14ac:dyDescent="0.3">
      <c r="A32" s="838">
        <f t="shared" si="1"/>
        <v>10</v>
      </c>
      <c r="B32" s="913" t="s">
        <v>340</v>
      </c>
      <c r="C32" s="894"/>
      <c r="D32" s="887"/>
      <c r="E32" s="894"/>
      <c r="F32" s="887"/>
      <c r="G32" s="808"/>
      <c r="H32" s="808"/>
      <c r="I32" s="809"/>
      <c r="J32" s="810"/>
      <c r="K32" s="811">
        <v>1</v>
      </c>
      <c r="L32" s="812"/>
      <c r="M32" s="812">
        <v>1</v>
      </c>
      <c r="N32" s="813" t="s">
        <v>341</v>
      </c>
      <c r="O32" s="842"/>
      <c r="P32" s="863"/>
      <c r="Q32" s="380">
        <v>1</v>
      </c>
      <c r="R32" s="381">
        <v>7.6429</v>
      </c>
    </row>
    <row r="33" spans="1:18" ht="15.75" x14ac:dyDescent="0.3">
      <c r="A33" s="838">
        <f t="shared" si="1"/>
        <v>11</v>
      </c>
      <c r="B33" s="913" t="s">
        <v>144</v>
      </c>
      <c r="C33" s="894"/>
      <c r="D33" s="887"/>
      <c r="E33" s="894"/>
      <c r="F33" s="887"/>
      <c r="G33" s="808"/>
      <c r="H33" s="808"/>
      <c r="I33" s="809"/>
      <c r="J33" s="810"/>
      <c r="K33" s="811">
        <v>1</v>
      </c>
      <c r="L33" s="812"/>
      <c r="M33" s="812"/>
      <c r="N33" s="813" t="s">
        <v>341</v>
      </c>
      <c r="O33" s="842"/>
      <c r="P33" s="863"/>
      <c r="Q33" s="380">
        <v>1</v>
      </c>
      <c r="R33" s="381">
        <v>7.6429</v>
      </c>
    </row>
    <row r="34" spans="1:18" ht="16.5" thickBot="1" x14ac:dyDescent="0.35">
      <c r="A34" s="838">
        <f t="shared" si="1"/>
        <v>12</v>
      </c>
      <c r="B34" s="914" t="s">
        <v>342</v>
      </c>
      <c r="C34" s="896"/>
      <c r="D34" s="889"/>
      <c r="E34" s="896"/>
      <c r="F34" s="889"/>
      <c r="G34" s="816"/>
      <c r="H34" s="816"/>
      <c r="I34" s="817"/>
      <c r="J34" s="818"/>
      <c r="K34" s="819">
        <v>1</v>
      </c>
      <c r="L34" s="820"/>
      <c r="M34" s="820"/>
      <c r="N34" s="821" t="s">
        <v>341</v>
      </c>
      <c r="O34" s="845"/>
      <c r="P34" s="864"/>
      <c r="Q34" s="846">
        <v>1</v>
      </c>
      <c r="R34" s="847">
        <v>7.6429</v>
      </c>
    </row>
    <row r="35" spans="1:18" ht="16.5" thickBot="1" x14ac:dyDescent="0.25">
      <c r="A35" s="839"/>
      <c r="B35" s="915" t="s">
        <v>336</v>
      </c>
      <c r="C35" s="897"/>
      <c r="D35" s="890"/>
      <c r="E35" s="897"/>
      <c r="F35" s="890"/>
      <c r="G35" s="822"/>
      <c r="H35" s="822"/>
      <c r="I35" s="823"/>
      <c r="J35" s="824"/>
      <c r="K35" s="825"/>
      <c r="L35" s="826"/>
      <c r="M35" s="826"/>
      <c r="N35" s="827"/>
      <c r="O35" s="848">
        <f>SUM(O23:O34)</f>
        <v>7</v>
      </c>
      <c r="P35" s="865">
        <f>SUM(P23:P34)</f>
        <v>57.170999999999992</v>
      </c>
      <c r="Q35" s="848">
        <f>SUM(Q23:Q34)</f>
        <v>14</v>
      </c>
      <c r="R35" s="849">
        <f>SUM(R23:R34)</f>
        <v>120.63629999999999</v>
      </c>
    </row>
    <row r="36" spans="1:18" ht="16.5" thickBot="1" x14ac:dyDescent="0.25">
      <c r="A36" s="850"/>
      <c r="B36" s="916" t="s">
        <v>198</v>
      </c>
      <c r="C36" s="898"/>
      <c r="D36" s="851"/>
      <c r="E36" s="898"/>
      <c r="F36" s="851"/>
      <c r="G36" s="851"/>
      <c r="H36" s="851"/>
      <c r="I36" s="851"/>
      <c r="J36" s="851"/>
      <c r="K36" s="851"/>
      <c r="L36" s="851"/>
      <c r="M36" s="851"/>
      <c r="N36" s="852"/>
      <c r="O36" s="859">
        <f>O35+O17</f>
        <v>20.100000000000001</v>
      </c>
      <c r="P36" s="853">
        <f>P35+P17</f>
        <v>203.74789999999999</v>
      </c>
      <c r="Q36" s="859">
        <f>Q35+Q17</f>
        <v>32</v>
      </c>
      <c r="R36" s="854">
        <f>R35+R17</f>
        <v>266.00029999999998</v>
      </c>
    </row>
    <row r="37" spans="1:18" ht="16.5" thickBot="1" x14ac:dyDescent="0.25">
      <c r="A37" s="850"/>
      <c r="B37" s="916" t="s">
        <v>580</v>
      </c>
      <c r="C37" s="898"/>
      <c r="D37" s="851"/>
      <c r="E37" s="898"/>
      <c r="F37" s="851"/>
      <c r="G37" s="851"/>
      <c r="H37" s="851"/>
      <c r="I37" s="851"/>
      <c r="J37" s="851"/>
      <c r="K37" s="851"/>
      <c r="L37" s="851"/>
      <c r="M37" s="851"/>
      <c r="N37" s="852"/>
      <c r="O37" s="859">
        <f>O36+Q36</f>
        <v>52.1</v>
      </c>
      <c r="P37" s="853">
        <f>P36+R36</f>
        <v>469.7482</v>
      </c>
      <c r="Q37" s="853"/>
      <c r="R37" s="854"/>
    </row>
    <row r="38" spans="1:18" x14ac:dyDescent="0.2">
      <c r="O38" s="394"/>
      <c r="P38" s="394"/>
      <c r="Q38" s="394"/>
      <c r="R38" s="394"/>
    </row>
  </sheetData>
  <autoFilter ref="A6:R17"/>
  <mergeCells count="23">
    <mergeCell ref="A1:J2"/>
    <mergeCell ref="A3:A5"/>
    <mergeCell ref="B3:B5"/>
    <mergeCell ref="C3:C5"/>
    <mergeCell ref="D3:D5"/>
    <mergeCell ref="E3:E5"/>
    <mergeCell ref="F3:G3"/>
    <mergeCell ref="H3:I3"/>
    <mergeCell ref="J3:J5"/>
    <mergeCell ref="A20:A22"/>
    <mergeCell ref="B20:B22"/>
    <mergeCell ref="C20:C22"/>
    <mergeCell ref="D20:D22"/>
    <mergeCell ref="E20:E22"/>
    <mergeCell ref="O3:R3"/>
    <mergeCell ref="O4:P4"/>
    <mergeCell ref="Q4:R4"/>
    <mergeCell ref="F20:G20"/>
    <mergeCell ref="H20:I20"/>
    <mergeCell ref="J20:J22"/>
    <mergeCell ref="O20:R20"/>
    <mergeCell ref="O21:P21"/>
    <mergeCell ref="Q21:R21"/>
  </mergeCells>
  <pageMargins left="0.25" right="0.25" top="0.75" bottom="0.75" header="0.3" footer="0.3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AA243"/>
  <sheetViews>
    <sheetView showWhiteSpace="0" zoomScaleNormal="100" workbookViewId="0">
      <pane xSplit="2" ySplit="12" topLeftCell="C152" activePane="bottomRight" state="frozen"/>
      <selection pane="topRight" activeCell="B1" sqref="B1"/>
      <selection pane="bottomLeft" activeCell="A13" sqref="A13"/>
      <selection pane="bottomRight" activeCell="C170" sqref="C170"/>
    </sheetView>
  </sheetViews>
  <sheetFormatPr defaultRowHeight="12.75" x14ac:dyDescent="0.2"/>
  <cols>
    <col min="2" max="2" width="5.5703125" customWidth="1"/>
    <col min="3" max="3" width="30.42578125" customWidth="1"/>
    <col min="4" max="4" width="11.28515625" customWidth="1"/>
    <col min="5" max="5" width="6.5703125" hidden="1" customWidth="1"/>
    <col min="6" max="7" width="5.7109375" hidden="1" customWidth="1"/>
    <col min="8" max="8" width="11.7109375" hidden="1" customWidth="1"/>
    <col min="9" max="9" width="4.7109375" hidden="1" customWidth="1"/>
    <col min="10" max="10" width="4.28515625" hidden="1" customWidth="1"/>
    <col min="11" max="11" width="11.42578125" hidden="1" customWidth="1"/>
    <col min="12" max="13" width="8.42578125" hidden="1" customWidth="1"/>
    <col min="14" max="14" width="13.42578125" hidden="1" customWidth="1"/>
    <col min="15" max="15" width="6" hidden="1" customWidth="1"/>
    <col min="16" max="16" width="4.85546875" hidden="1" customWidth="1"/>
    <col min="17" max="17" width="6.42578125" hidden="1" customWidth="1"/>
    <col min="18" max="18" width="5.140625" hidden="1" customWidth="1"/>
    <col min="19" max="19" width="3.85546875" hidden="1" customWidth="1"/>
    <col min="20" max="23" width="7.85546875" hidden="1" customWidth="1"/>
    <col min="24" max="24" width="10.85546875" style="403" hidden="1" customWidth="1"/>
    <col min="25" max="25" width="15" customWidth="1"/>
    <col min="26" max="26" width="20.7109375" customWidth="1"/>
    <col min="27" max="27" width="9.140625" customWidth="1"/>
  </cols>
  <sheetData>
    <row r="1" spans="2:26" ht="15.75" customHeight="1" x14ac:dyDescent="0.25">
      <c r="B1" s="327"/>
      <c r="C1" s="177"/>
      <c r="D1" s="327"/>
      <c r="E1" s="327"/>
      <c r="F1" s="327"/>
      <c r="G1" s="327"/>
      <c r="H1" s="327"/>
      <c r="I1" s="466"/>
      <c r="J1" s="466"/>
      <c r="K1" s="466"/>
      <c r="L1" s="466"/>
      <c r="M1" s="466"/>
      <c r="N1" s="466"/>
      <c r="O1" s="466"/>
      <c r="P1" s="466"/>
      <c r="Q1" s="401"/>
      <c r="R1" s="402"/>
    </row>
    <row r="2" spans="2:26" ht="15.75" x14ac:dyDescent="0.25">
      <c r="B2" s="177"/>
      <c r="C2" s="177"/>
      <c r="D2" s="404"/>
      <c r="E2" s="404"/>
      <c r="F2" s="404"/>
      <c r="G2" s="404"/>
      <c r="H2" s="404"/>
      <c r="I2" s="466"/>
      <c r="J2" s="466"/>
      <c r="K2" s="466"/>
      <c r="L2" s="466"/>
      <c r="M2" s="466"/>
      <c r="N2" s="466"/>
      <c r="O2" s="466"/>
      <c r="P2" s="466"/>
      <c r="Q2" s="401"/>
    </row>
    <row r="3" spans="2:26" ht="15.75" x14ac:dyDescent="0.25">
      <c r="B3" s="177"/>
      <c r="C3" s="177"/>
      <c r="D3" s="327"/>
      <c r="E3" s="327"/>
      <c r="F3" s="327"/>
      <c r="G3" s="327"/>
      <c r="H3" s="327"/>
      <c r="I3" s="466"/>
      <c r="J3" s="466"/>
      <c r="K3" s="466"/>
      <c r="L3" s="466"/>
      <c r="M3" s="466"/>
      <c r="N3" s="466"/>
      <c r="O3" s="466"/>
      <c r="P3" s="466"/>
      <c r="Q3" s="401"/>
    </row>
    <row r="4" spans="2:26" ht="15.75" x14ac:dyDescent="0.25">
      <c r="B4" s="177"/>
      <c r="C4" s="177"/>
      <c r="D4" s="404"/>
      <c r="E4" s="404"/>
      <c r="F4" s="404"/>
      <c r="G4" s="404"/>
      <c r="H4" s="404"/>
      <c r="I4" s="466"/>
      <c r="J4" s="466"/>
      <c r="K4" s="466"/>
      <c r="L4" s="466"/>
      <c r="M4" s="466"/>
      <c r="N4" s="466"/>
      <c r="O4" s="466"/>
      <c r="P4" s="466"/>
      <c r="Q4" s="401"/>
    </row>
    <row r="5" spans="2:26" ht="15.75" x14ac:dyDescent="0.25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2:26" ht="15.75" x14ac:dyDescent="0.25">
      <c r="B6" s="467" t="s">
        <v>343</v>
      </c>
      <c r="C6" s="467"/>
      <c r="D6" s="467"/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/>
      <c r="U6" s="467"/>
      <c r="V6" s="467"/>
      <c r="W6" s="467"/>
      <c r="X6" s="467"/>
      <c r="Y6" s="467"/>
      <c r="Z6" s="467"/>
    </row>
    <row r="7" spans="2:26" ht="15.75" x14ac:dyDescent="0.25">
      <c r="B7" s="467" t="s">
        <v>2</v>
      </c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</row>
    <row r="8" spans="2:26" ht="16.5" thickBot="1" x14ac:dyDescent="0.3"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T8" s="468" t="s">
        <v>344</v>
      </c>
      <c r="U8" s="468"/>
      <c r="V8" s="468"/>
      <c r="W8" s="468"/>
      <c r="X8" s="468"/>
    </row>
    <row r="9" spans="2:26" ht="15.75" customHeight="1" x14ac:dyDescent="0.2">
      <c r="B9" s="924" t="s">
        <v>345</v>
      </c>
      <c r="C9" s="925" t="s">
        <v>7</v>
      </c>
      <c r="D9" s="926" t="s">
        <v>346</v>
      </c>
      <c r="E9" s="927" t="s">
        <v>347</v>
      </c>
      <c r="F9" s="928"/>
      <c r="G9" s="926" t="s">
        <v>348</v>
      </c>
      <c r="H9" s="926" t="s">
        <v>314</v>
      </c>
      <c r="I9" s="929" t="s">
        <v>349</v>
      </c>
      <c r="J9" s="930"/>
      <c r="K9" s="931" t="s">
        <v>314</v>
      </c>
      <c r="L9" s="932" t="s">
        <v>350</v>
      </c>
      <c r="M9" s="933"/>
      <c r="N9" s="934"/>
      <c r="O9" s="929" t="s">
        <v>335</v>
      </c>
      <c r="P9" s="930"/>
      <c r="Q9" s="439" t="s">
        <v>314</v>
      </c>
      <c r="R9" s="935" t="s">
        <v>349</v>
      </c>
      <c r="S9" s="936"/>
      <c r="T9" s="937"/>
      <c r="U9" s="938"/>
      <c r="V9" s="939"/>
      <c r="W9" s="939"/>
      <c r="X9" s="940"/>
      <c r="Y9" s="933" t="s">
        <v>350</v>
      </c>
      <c r="Z9" s="1097"/>
    </row>
    <row r="10" spans="2:26" ht="25.5" customHeight="1" x14ac:dyDescent="0.2">
      <c r="B10" s="941"/>
      <c r="C10" s="942"/>
      <c r="D10" s="943"/>
      <c r="E10" s="944"/>
      <c r="F10" s="945"/>
      <c r="G10" s="943"/>
      <c r="H10" s="946"/>
      <c r="I10" s="947" t="s">
        <v>351</v>
      </c>
      <c r="J10" s="948"/>
      <c r="K10" s="949"/>
      <c r="L10" s="950"/>
      <c r="M10" s="951"/>
      <c r="N10" s="952"/>
      <c r="O10" s="947"/>
      <c r="P10" s="948"/>
      <c r="Q10" s="465"/>
      <c r="R10" s="953" t="s">
        <v>352</v>
      </c>
      <c r="S10" s="954"/>
      <c r="T10" s="955" t="s">
        <v>353</v>
      </c>
      <c r="U10" s="956" t="s">
        <v>354</v>
      </c>
      <c r="V10" s="957" t="s">
        <v>335</v>
      </c>
      <c r="W10" s="957" t="s">
        <v>355</v>
      </c>
      <c r="X10" s="958" t="s">
        <v>212</v>
      </c>
      <c r="Y10" s="951"/>
      <c r="Z10" s="1098"/>
    </row>
    <row r="11" spans="2:26" ht="13.5" thickBot="1" x14ac:dyDescent="0.25">
      <c r="B11" s="959"/>
      <c r="C11" s="960"/>
      <c r="D11" s="961" t="s">
        <v>211</v>
      </c>
      <c r="E11" s="962" t="s">
        <v>319</v>
      </c>
      <c r="F11" s="963" t="s">
        <v>211</v>
      </c>
      <c r="G11" s="963" t="s">
        <v>307</v>
      </c>
      <c r="H11" s="964"/>
      <c r="I11" s="963" t="s">
        <v>307</v>
      </c>
      <c r="J11" s="965" t="s">
        <v>319</v>
      </c>
      <c r="K11" s="966"/>
      <c r="L11" s="967" t="s">
        <v>211</v>
      </c>
      <c r="M11" s="968" t="s">
        <v>213</v>
      </c>
      <c r="N11" s="969" t="s">
        <v>318</v>
      </c>
      <c r="O11" s="970" t="s">
        <v>307</v>
      </c>
      <c r="P11" s="971" t="s">
        <v>319</v>
      </c>
      <c r="Q11" s="440"/>
      <c r="R11" s="961" t="s">
        <v>307</v>
      </c>
      <c r="S11" s="972" t="s">
        <v>319</v>
      </c>
      <c r="T11" s="973" t="s">
        <v>211</v>
      </c>
      <c r="U11" s="973" t="s">
        <v>211</v>
      </c>
      <c r="V11" s="973" t="s">
        <v>211</v>
      </c>
      <c r="W11" s="973" t="s">
        <v>211</v>
      </c>
      <c r="X11" s="974"/>
      <c r="Y11" s="1099" t="s">
        <v>211</v>
      </c>
      <c r="Z11" s="1100" t="s">
        <v>213</v>
      </c>
    </row>
    <row r="12" spans="2:26" ht="13.5" thickBot="1" x14ac:dyDescent="0.25">
      <c r="B12" s="975"/>
      <c r="C12" s="212"/>
      <c r="D12" s="976"/>
      <c r="E12" s="977"/>
      <c r="F12" s="976"/>
      <c r="G12" s="976"/>
      <c r="H12" s="976"/>
      <c r="I12" s="976"/>
      <c r="J12" s="978"/>
      <c r="K12" s="979"/>
      <c r="L12" s="980"/>
      <c r="M12" s="981"/>
      <c r="N12" s="982"/>
      <c r="O12" s="977"/>
      <c r="P12" s="983"/>
      <c r="Q12" s="979"/>
      <c r="R12" s="976"/>
      <c r="S12" s="978"/>
      <c r="T12" s="984"/>
      <c r="U12" s="985"/>
      <c r="V12" s="986"/>
      <c r="W12" s="986"/>
      <c r="X12" s="987"/>
      <c r="Y12" s="1101"/>
      <c r="Z12" s="1102"/>
    </row>
    <row r="13" spans="2:26" s="90" customFormat="1" ht="16.5" customHeight="1" x14ac:dyDescent="0.2">
      <c r="B13" s="988">
        <v>1</v>
      </c>
      <c r="C13" s="130" t="s">
        <v>19</v>
      </c>
      <c r="D13" s="989">
        <f>F13+G13+I13+O13</f>
        <v>13</v>
      </c>
      <c r="E13" s="990">
        <v>3</v>
      </c>
      <c r="F13" s="990">
        <v>5</v>
      </c>
      <c r="G13" s="990">
        <v>5</v>
      </c>
      <c r="H13" s="990" t="s">
        <v>356</v>
      </c>
      <c r="I13" s="990"/>
      <c r="J13" s="991"/>
      <c r="K13" s="992"/>
      <c r="L13" s="993"/>
      <c r="M13" s="994"/>
      <c r="N13" s="995"/>
      <c r="O13" s="990">
        <v>3</v>
      </c>
      <c r="P13" s="991"/>
      <c r="Q13" s="992"/>
      <c r="R13" s="996"/>
      <c r="S13" s="991"/>
      <c r="T13" s="997"/>
      <c r="U13" s="991"/>
      <c r="V13" s="990"/>
      <c r="W13" s="990"/>
      <c r="X13" s="998"/>
      <c r="Y13" s="1103">
        <v>22</v>
      </c>
      <c r="Z13" s="782">
        <v>7.6580999999999992</v>
      </c>
    </row>
    <row r="14" spans="2:26" s="90" customFormat="1" x14ac:dyDescent="0.2">
      <c r="B14" s="999">
        <f t="shared" ref="B14:B77" si="0">B13+1</f>
        <v>2</v>
      </c>
      <c r="C14" s="135" t="s">
        <v>148</v>
      </c>
      <c r="D14" s="989">
        <f>F14+G14+I14+O14</f>
        <v>12</v>
      </c>
      <c r="E14" s="1000">
        <v>1.5</v>
      </c>
      <c r="F14" s="1000">
        <v>5</v>
      </c>
      <c r="G14" s="1000">
        <v>2</v>
      </c>
      <c r="H14" s="1000"/>
      <c r="I14" s="1000"/>
      <c r="J14" s="1001"/>
      <c r="K14" s="1002"/>
      <c r="L14" s="1003"/>
      <c r="M14" s="1004"/>
      <c r="N14" s="1005"/>
      <c r="O14" s="1000">
        <v>5</v>
      </c>
      <c r="P14" s="1001"/>
      <c r="Q14" s="1002"/>
      <c r="R14" s="1006"/>
      <c r="S14" s="1001"/>
      <c r="T14" s="1007"/>
      <c r="U14" s="1001"/>
      <c r="V14" s="1000"/>
      <c r="W14" s="1000"/>
      <c r="X14" s="1008"/>
      <c r="Y14" s="1104">
        <v>1</v>
      </c>
      <c r="Z14" s="776">
        <v>0.40500000000000003</v>
      </c>
    </row>
    <row r="15" spans="2:26" s="90" customFormat="1" x14ac:dyDescent="0.2">
      <c r="B15" s="999">
        <f t="shared" si="0"/>
        <v>3</v>
      </c>
      <c r="C15" s="135" t="s">
        <v>27</v>
      </c>
      <c r="D15" s="989">
        <f>F15+G15+I15+O15</f>
        <v>2</v>
      </c>
      <c r="E15" s="1000">
        <v>4</v>
      </c>
      <c r="F15" s="1000">
        <v>2</v>
      </c>
      <c r="G15" s="1000"/>
      <c r="H15" s="1000" t="s">
        <v>358</v>
      </c>
      <c r="I15" s="1000"/>
      <c r="J15" s="1001"/>
      <c r="K15" s="1002"/>
      <c r="L15" s="1003"/>
      <c r="M15" s="1004"/>
      <c r="N15" s="1005"/>
      <c r="O15" s="1000"/>
      <c r="P15" s="1001"/>
      <c r="Q15" s="1002"/>
      <c r="R15" s="1006"/>
      <c r="S15" s="1001"/>
      <c r="T15" s="1007">
        <v>4</v>
      </c>
      <c r="U15" s="1001"/>
      <c r="V15" s="1000">
        <v>2</v>
      </c>
      <c r="W15" s="1000">
        <v>1</v>
      </c>
      <c r="X15" s="1008"/>
      <c r="Y15" s="1104">
        <v>49</v>
      </c>
      <c r="Z15" s="776">
        <v>63.593000000000004</v>
      </c>
    </row>
    <row r="16" spans="2:26" s="90" customFormat="1" x14ac:dyDescent="0.2">
      <c r="B16" s="999">
        <f t="shared" si="0"/>
        <v>4</v>
      </c>
      <c r="C16" s="135" t="s">
        <v>29</v>
      </c>
      <c r="D16" s="989">
        <f>F16+G16+I16+O16</f>
        <v>4</v>
      </c>
      <c r="E16" s="1000"/>
      <c r="F16" s="1000"/>
      <c r="G16" s="1000">
        <v>4</v>
      </c>
      <c r="H16" s="1000" t="s">
        <v>358</v>
      </c>
      <c r="I16" s="1000"/>
      <c r="J16" s="1001"/>
      <c r="K16" s="1002"/>
      <c r="L16" s="1003"/>
      <c r="M16" s="1004"/>
      <c r="N16" s="1005"/>
      <c r="O16" s="1000"/>
      <c r="P16" s="1001"/>
      <c r="Q16" s="1002"/>
      <c r="R16" s="1006"/>
      <c r="S16" s="1001"/>
      <c r="T16" s="1007">
        <v>3</v>
      </c>
      <c r="U16" s="1001"/>
      <c r="V16" s="1000"/>
      <c r="W16" s="1000"/>
      <c r="X16" s="1008"/>
      <c r="Y16" s="1104">
        <v>5</v>
      </c>
      <c r="Z16" s="776">
        <v>2.1619999999999999</v>
      </c>
    </row>
    <row r="17" spans="2:26" s="90" customFormat="1" x14ac:dyDescent="0.2">
      <c r="B17" s="999">
        <f t="shared" si="0"/>
        <v>5</v>
      </c>
      <c r="C17" s="1009" t="s">
        <v>149</v>
      </c>
      <c r="D17" s="989">
        <f>F17+G17+I17+O17</f>
        <v>6</v>
      </c>
      <c r="E17" s="1000">
        <v>3</v>
      </c>
      <c r="F17" s="1000">
        <v>6</v>
      </c>
      <c r="G17" s="1000"/>
      <c r="H17" s="1000" t="s">
        <v>359</v>
      </c>
      <c r="I17" s="1000"/>
      <c r="J17" s="1001"/>
      <c r="K17" s="1002"/>
      <c r="L17" s="1003"/>
      <c r="M17" s="1004"/>
      <c r="N17" s="1005"/>
      <c r="O17" s="1000"/>
      <c r="P17" s="1001"/>
      <c r="Q17" s="1002"/>
      <c r="R17" s="1006"/>
      <c r="S17" s="1001"/>
      <c r="T17" s="1007"/>
      <c r="U17" s="1001"/>
      <c r="V17" s="1000">
        <v>5</v>
      </c>
      <c r="W17" s="1000"/>
      <c r="X17" s="1008"/>
      <c r="Y17" s="1104">
        <v>9</v>
      </c>
      <c r="Z17" s="776">
        <f>0.883+2.835</f>
        <v>3.718</v>
      </c>
    </row>
    <row r="18" spans="2:26" s="90" customFormat="1" x14ac:dyDescent="0.2">
      <c r="B18" s="999">
        <f t="shared" si="0"/>
        <v>6</v>
      </c>
      <c r="C18" s="135" t="s">
        <v>150</v>
      </c>
      <c r="D18" s="989">
        <f>F18+G18+I18+O18</f>
        <v>4</v>
      </c>
      <c r="E18" s="1000">
        <v>2</v>
      </c>
      <c r="F18" s="1000">
        <v>4</v>
      </c>
      <c r="G18" s="1000"/>
      <c r="H18" s="1000" t="s">
        <v>359</v>
      </c>
      <c r="I18" s="1000"/>
      <c r="J18" s="1001"/>
      <c r="K18" s="1002"/>
      <c r="L18" s="1003"/>
      <c r="M18" s="1010"/>
      <c r="N18" s="1005"/>
      <c r="O18" s="1000"/>
      <c r="P18" s="1001"/>
      <c r="Q18" s="1002"/>
      <c r="R18" s="1006"/>
      <c r="S18" s="1001"/>
      <c r="T18" s="1007"/>
      <c r="U18" s="1001"/>
      <c r="V18" s="1000"/>
      <c r="W18" s="1000"/>
      <c r="X18" s="1008"/>
      <c r="Y18" s="1104">
        <v>1</v>
      </c>
      <c r="Z18" s="776">
        <v>0.40500000000000003</v>
      </c>
    </row>
    <row r="19" spans="2:26" s="90" customFormat="1" x14ac:dyDescent="0.2">
      <c r="B19" s="999">
        <f t="shared" si="0"/>
        <v>7</v>
      </c>
      <c r="C19" s="135" t="s">
        <v>214</v>
      </c>
      <c r="D19" s="989">
        <f>F19+G19+I19+O19</f>
        <v>4</v>
      </c>
      <c r="E19" s="1000"/>
      <c r="F19" s="1000"/>
      <c r="G19" s="1000">
        <v>2</v>
      </c>
      <c r="H19" s="1000" t="s">
        <v>357</v>
      </c>
      <c r="I19" s="1000"/>
      <c r="J19" s="1001"/>
      <c r="K19" s="1002"/>
      <c r="L19" s="1003"/>
      <c r="M19" s="1004"/>
      <c r="N19" s="1005"/>
      <c r="O19" s="1000">
        <v>2</v>
      </c>
      <c r="P19" s="1001"/>
      <c r="Q19" s="1002"/>
      <c r="R19" s="1006"/>
      <c r="S19" s="1001"/>
      <c r="T19" s="1007"/>
      <c r="U19" s="1001"/>
      <c r="V19" s="1000"/>
      <c r="W19" s="1000"/>
      <c r="X19" s="1008"/>
      <c r="Y19" s="1104">
        <v>1</v>
      </c>
      <c r="Z19" s="776">
        <v>0.40500000000000003</v>
      </c>
    </row>
    <row r="20" spans="2:26" s="90" customFormat="1" x14ac:dyDescent="0.2">
      <c r="B20" s="999">
        <f t="shared" si="0"/>
        <v>8</v>
      </c>
      <c r="C20" s="135" t="s">
        <v>100</v>
      </c>
      <c r="D20" s="989">
        <f>F20+G20+I20+O20</f>
        <v>12</v>
      </c>
      <c r="E20" s="1000">
        <v>3</v>
      </c>
      <c r="F20" s="1000">
        <v>5</v>
      </c>
      <c r="G20" s="1000">
        <v>7</v>
      </c>
      <c r="H20" s="1000" t="s">
        <v>356</v>
      </c>
      <c r="I20" s="1000"/>
      <c r="J20" s="1001"/>
      <c r="K20" s="1002"/>
      <c r="L20" s="1003"/>
      <c r="M20" s="1004"/>
      <c r="N20" s="1005"/>
      <c r="O20" s="1000"/>
      <c r="P20" s="1001"/>
      <c r="Q20" s="1002"/>
      <c r="R20" s="1006"/>
      <c r="S20" s="1001"/>
      <c r="T20" s="1007"/>
      <c r="U20" s="1001"/>
      <c r="V20" s="1000"/>
      <c r="W20" s="1000"/>
      <c r="X20" s="1008"/>
      <c r="Y20" s="1104">
        <v>2</v>
      </c>
      <c r="Z20" s="776">
        <v>0.22539999999999999</v>
      </c>
    </row>
    <row r="21" spans="2:26" s="90" customFormat="1" x14ac:dyDescent="0.2">
      <c r="B21" s="999">
        <f t="shared" si="0"/>
        <v>9</v>
      </c>
      <c r="C21" s="135" t="s">
        <v>215</v>
      </c>
      <c r="D21" s="989">
        <f>F21+G21+I21+O21</f>
        <v>4</v>
      </c>
      <c r="E21" s="1000"/>
      <c r="F21" s="1000"/>
      <c r="G21" s="1000">
        <v>2</v>
      </c>
      <c r="H21" s="1000"/>
      <c r="I21" s="1000"/>
      <c r="J21" s="1001"/>
      <c r="K21" s="1002"/>
      <c r="L21" s="1003"/>
      <c r="M21" s="1010"/>
      <c r="N21" s="1005"/>
      <c r="O21" s="1000">
        <v>2</v>
      </c>
      <c r="P21" s="1001"/>
      <c r="Q21" s="1002" t="s">
        <v>360</v>
      </c>
      <c r="R21" s="1006"/>
      <c r="S21" s="1001"/>
      <c r="T21" s="1007"/>
      <c r="U21" s="1001"/>
      <c r="V21" s="1000"/>
      <c r="W21" s="1000"/>
      <c r="X21" s="1008"/>
      <c r="Y21" s="1104">
        <v>5</v>
      </c>
      <c r="Z21" s="776">
        <v>2.5779999999999998</v>
      </c>
    </row>
    <row r="22" spans="2:26" s="90" customFormat="1" x14ac:dyDescent="0.2">
      <c r="B22" s="999">
        <f t="shared" si="0"/>
        <v>10</v>
      </c>
      <c r="C22" s="135" t="s">
        <v>102</v>
      </c>
      <c r="D22" s="989">
        <f>F22+G22+I22+O22</f>
        <v>15</v>
      </c>
      <c r="E22" s="1000">
        <v>2.6</v>
      </c>
      <c r="F22" s="1000">
        <v>3</v>
      </c>
      <c r="G22" s="1000">
        <v>8</v>
      </c>
      <c r="H22" s="1000" t="s">
        <v>356</v>
      </c>
      <c r="I22" s="1000"/>
      <c r="J22" s="1001"/>
      <c r="K22" s="1002"/>
      <c r="L22" s="1003"/>
      <c r="M22" s="1010"/>
      <c r="N22" s="1005"/>
      <c r="O22" s="1000">
        <v>4</v>
      </c>
      <c r="P22" s="1001"/>
      <c r="Q22" s="1002"/>
      <c r="R22" s="1006"/>
      <c r="S22" s="1001"/>
      <c r="T22" s="1007">
        <v>14</v>
      </c>
      <c r="U22" s="1001"/>
      <c r="V22" s="1000"/>
      <c r="W22" s="1000"/>
      <c r="X22" s="1008" t="s">
        <v>359</v>
      </c>
      <c r="Y22" s="1104">
        <v>12</v>
      </c>
      <c r="Z22" s="776">
        <v>4.641</v>
      </c>
    </row>
    <row r="23" spans="2:26" s="90" customFormat="1" x14ac:dyDescent="0.2">
      <c r="B23" s="999">
        <f t="shared" si="0"/>
        <v>11</v>
      </c>
      <c r="C23" s="135" t="s">
        <v>185</v>
      </c>
      <c r="D23" s="989">
        <f>F23+G23+I23+O23</f>
        <v>3</v>
      </c>
      <c r="E23" s="1000"/>
      <c r="F23" s="1000"/>
      <c r="G23" s="1000"/>
      <c r="H23" s="1000"/>
      <c r="I23" s="1000"/>
      <c r="J23" s="1001"/>
      <c r="K23" s="1002"/>
      <c r="L23" s="1003"/>
      <c r="M23" s="1004"/>
      <c r="N23" s="1005"/>
      <c r="O23" s="1000">
        <v>3</v>
      </c>
      <c r="P23" s="1001"/>
      <c r="Q23" s="1002" t="s">
        <v>361</v>
      </c>
      <c r="R23" s="1006"/>
      <c r="S23" s="1001"/>
      <c r="T23" s="1007"/>
      <c r="U23" s="1001"/>
      <c r="V23" s="1000">
        <v>2</v>
      </c>
      <c r="W23" s="1000"/>
      <c r="X23" s="1008"/>
      <c r="Y23" s="1104">
        <v>30</v>
      </c>
      <c r="Z23" s="776">
        <v>33.552399999999999</v>
      </c>
    </row>
    <row r="24" spans="2:26" s="90" customFormat="1" x14ac:dyDescent="0.2">
      <c r="B24" s="999">
        <f t="shared" si="0"/>
        <v>12</v>
      </c>
      <c r="C24" s="135" t="s">
        <v>216</v>
      </c>
      <c r="D24" s="989">
        <f>F24+G24+I24+O24</f>
        <v>13</v>
      </c>
      <c r="E24" s="1000">
        <v>2</v>
      </c>
      <c r="F24" s="1000">
        <v>4</v>
      </c>
      <c r="G24" s="1000">
        <v>1</v>
      </c>
      <c r="H24" s="1000" t="s">
        <v>362</v>
      </c>
      <c r="I24" s="1000"/>
      <c r="J24" s="1001"/>
      <c r="K24" s="1002"/>
      <c r="L24" s="1003"/>
      <c r="M24" s="1004"/>
      <c r="N24" s="1005"/>
      <c r="O24" s="1000">
        <v>8</v>
      </c>
      <c r="P24" s="1001">
        <v>1.9</v>
      </c>
      <c r="Q24" s="1002" t="s">
        <v>363</v>
      </c>
      <c r="R24" s="1006"/>
      <c r="S24" s="1001"/>
      <c r="T24" s="1007"/>
      <c r="U24" s="1001"/>
      <c r="V24" s="1000"/>
      <c r="W24" s="1000"/>
      <c r="X24" s="1008"/>
      <c r="Y24" s="1104">
        <v>31</v>
      </c>
      <c r="Z24" s="776">
        <v>26.210999999999999</v>
      </c>
    </row>
    <row r="25" spans="2:26" s="90" customFormat="1" x14ac:dyDescent="0.2">
      <c r="B25" s="999">
        <f t="shared" si="0"/>
        <v>13</v>
      </c>
      <c r="C25" s="135" t="s">
        <v>262</v>
      </c>
      <c r="D25" s="989">
        <f>F25+G25+I25+O25</f>
        <v>4</v>
      </c>
      <c r="E25" s="1000">
        <v>2</v>
      </c>
      <c r="F25" s="1000">
        <v>4</v>
      </c>
      <c r="G25" s="1000"/>
      <c r="H25" s="1000" t="s">
        <v>357</v>
      </c>
      <c r="I25" s="1000"/>
      <c r="J25" s="1001"/>
      <c r="K25" s="1002"/>
      <c r="L25" s="1003"/>
      <c r="M25" s="1004"/>
      <c r="N25" s="1005"/>
      <c r="O25" s="1000"/>
      <c r="P25" s="1001"/>
      <c r="Q25" s="1002"/>
      <c r="R25" s="1006"/>
      <c r="S25" s="1001"/>
      <c r="T25" s="1007"/>
      <c r="U25" s="1001"/>
      <c r="V25" s="1000"/>
      <c r="W25" s="1000"/>
      <c r="X25" s="1008"/>
      <c r="Y25" s="1104">
        <v>5</v>
      </c>
      <c r="Z25" s="776">
        <v>2.1949999999999998</v>
      </c>
    </row>
    <row r="26" spans="2:26" s="90" customFormat="1" x14ac:dyDescent="0.2">
      <c r="B26" s="999">
        <f t="shared" si="0"/>
        <v>14</v>
      </c>
      <c r="C26" s="135" t="s">
        <v>30</v>
      </c>
      <c r="D26" s="989">
        <f>F26+G26+I26+O26</f>
        <v>5</v>
      </c>
      <c r="E26" s="1000">
        <v>2</v>
      </c>
      <c r="F26" s="1000">
        <v>3</v>
      </c>
      <c r="G26" s="1000">
        <v>2</v>
      </c>
      <c r="H26" s="1000" t="s">
        <v>357</v>
      </c>
      <c r="I26" s="1000"/>
      <c r="J26" s="1001"/>
      <c r="K26" s="1002"/>
      <c r="L26" s="1003"/>
      <c r="M26" s="1004"/>
      <c r="N26" s="1005"/>
      <c r="O26" s="1000"/>
      <c r="P26" s="1001"/>
      <c r="Q26" s="1002"/>
      <c r="R26" s="1006"/>
      <c r="S26" s="1001"/>
      <c r="T26" s="1007"/>
      <c r="U26" s="1001"/>
      <c r="V26" s="1000"/>
      <c r="W26" s="1000"/>
      <c r="X26" s="1008"/>
      <c r="Y26" s="1104">
        <v>11</v>
      </c>
      <c r="Z26" s="776">
        <v>4.3505000000000003</v>
      </c>
    </row>
    <row r="27" spans="2:26" s="90" customFormat="1" x14ac:dyDescent="0.2">
      <c r="B27" s="999">
        <f t="shared" si="0"/>
        <v>15</v>
      </c>
      <c r="C27" s="135" t="s">
        <v>151</v>
      </c>
      <c r="D27" s="989">
        <f>F27+G27+I27+O27</f>
        <v>4</v>
      </c>
      <c r="E27" s="1000">
        <v>3</v>
      </c>
      <c r="F27" s="1000">
        <v>4</v>
      </c>
      <c r="G27" s="1000"/>
      <c r="H27" s="1000"/>
      <c r="I27" s="1000"/>
      <c r="J27" s="1001"/>
      <c r="K27" s="1002"/>
      <c r="L27" s="1003"/>
      <c r="M27" s="1004"/>
      <c r="N27" s="1005"/>
      <c r="O27" s="1000"/>
      <c r="P27" s="1001"/>
      <c r="Q27" s="1002"/>
      <c r="R27" s="1006"/>
      <c r="S27" s="1001"/>
      <c r="T27" s="1007"/>
      <c r="U27" s="1001"/>
      <c r="V27" s="1000">
        <v>5</v>
      </c>
      <c r="W27" s="1000"/>
      <c r="X27" s="1008"/>
      <c r="Y27" s="1104">
        <v>3</v>
      </c>
      <c r="Z27" s="776">
        <v>1.599</v>
      </c>
    </row>
    <row r="28" spans="2:26" s="90" customFormat="1" x14ac:dyDescent="0.2">
      <c r="B28" s="999">
        <f t="shared" si="0"/>
        <v>16</v>
      </c>
      <c r="C28" s="135" t="s">
        <v>104</v>
      </c>
      <c r="D28" s="989">
        <f>F28+G28+I28+O28</f>
        <v>21</v>
      </c>
      <c r="E28" s="1000">
        <v>5</v>
      </c>
      <c r="F28" s="1000">
        <v>8</v>
      </c>
      <c r="G28" s="1000">
        <v>8</v>
      </c>
      <c r="H28" s="1000" t="s">
        <v>356</v>
      </c>
      <c r="I28" s="1000"/>
      <c r="J28" s="1001"/>
      <c r="K28" s="1002"/>
      <c r="L28" s="1003"/>
      <c r="M28" s="1010"/>
      <c r="N28" s="1005"/>
      <c r="O28" s="1000">
        <v>5</v>
      </c>
      <c r="P28" s="1001">
        <v>1.6</v>
      </c>
      <c r="Q28" s="1002"/>
      <c r="R28" s="1006"/>
      <c r="S28" s="1001"/>
      <c r="T28" s="1007"/>
      <c r="U28" s="1001"/>
      <c r="V28" s="1000">
        <v>2</v>
      </c>
      <c r="W28" s="1000"/>
      <c r="X28" s="1008" t="s">
        <v>364</v>
      </c>
      <c r="Y28" s="1104">
        <v>4</v>
      </c>
      <c r="Z28" s="776">
        <v>2.1680000000000001</v>
      </c>
    </row>
    <row r="29" spans="2:26" s="90" customFormat="1" x14ac:dyDescent="0.2">
      <c r="B29" s="999">
        <f t="shared" si="0"/>
        <v>17</v>
      </c>
      <c r="C29" s="135" t="s">
        <v>152</v>
      </c>
      <c r="D29" s="989">
        <f>F29+G29+I29+O29</f>
        <v>7</v>
      </c>
      <c r="E29" s="1000">
        <v>3.5</v>
      </c>
      <c r="F29" s="1000">
        <v>4</v>
      </c>
      <c r="G29" s="1000"/>
      <c r="H29" s="1000"/>
      <c r="I29" s="1000"/>
      <c r="J29" s="1001"/>
      <c r="K29" s="1002"/>
      <c r="L29" s="1003"/>
      <c r="M29" s="1004"/>
      <c r="N29" s="1005"/>
      <c r="O29" s="1000">
        <v>3</v>
      </c>
      <c r="P29" s="1001"/>
      <c r="Q29" s="1002"/>
      <c r="R29" s="1006"/>
      <c r="S29" s="1001"/>
      <c r="T29" s="1007"/>
      <c r="U29" s="1001"/>
      <c r="V29" s="1000"/>
      <c r="W29" s="1000"/>
      <c r="X29" s="1008"/>
      <c r="Y29" s="1104">
        <v>26</v>
      </c>
      <c r="Z29" s="776">
        <v>12.603</v>
      </c>
    </row>
    <row r="30" spans="2:26" s="90" customFormat="1" x14ac:dyDescent="0.2">
      <c r="B30" s="999">
        <f t="shared" si="0"/>
        <v>18</v>
      </c>
      <c r="C30" s="135" t="s">
        <v>31</v>
      </c>
      <c r="D30" s="989">
        <f>F30+G30+I30+O30</f>
        <v>7</v>
      </c>
      <c r="E30" s="1000">
        <v>5</v>
      </c>
      <c r="F30" s="1000">
        <v>7</v>
      </c>
      <c r="G30" s="1000"/>
      <c r="H30" s="1000"/>
      <c r="I30" s="1000"/>
      <c r="J30" s="1001"/>
      <c r="K30" s="1002" t="s">
        <v>365</v>
      </c>
      <c r="L30" s="1003"/>
      <c r="M30" s="1004"/>
      <c r="N30" s="1005"/>
      <c r="O30" s="1000"/>
      <c r="P30" s="1001"/>
      <c r="Q30" s="1002"/>
      <c r="R30" s="1006"/>
      <c r="S30" s="1001"/>
      <c r="T30" s="1007"/>
      <c r="U30" s="1001"/>
      <c r="V30" s="1000"/>
      <c r="W30" s="1000"/>
      <c r="X30" s="1008"/>
      <c r="Y30" s="1104">
        <v>64</v>
      </c>
      <c r="Z30" s="776">
        <v>44.512099999999997</v>
      </c>
    </row>
    <row r="31" spans="2:26" s="90" customFormat="1" x14ac:dyDescent="0.2">
      <c r="B31" s="999">
        <f t="shared" si="0"/>
        <v>19</v>
      </c>
      <c r="C31" s="135" t="s">
        <v>154</v>
      </c>
      <c r="D31" s="989">
        <f>F31+G31+I31+O31</f>
        <v>27</v>
      </c>
      <c r="E31" s="1000">
        <v>6</v>
      </c>
      <c r="F31" s="1000">
        <v>8</v>
      </c>
      <c r="G31" s="1000">
        <v>16</v>
      </c>
      <c r="H31" s="1000" t="s">
        <v>356</v>
      </c>
      <c r="I31" s="1000"/>
      <c r="J31" s="1001"/>
      <c r="K31" s="1002" t="s">
        <v>366</v>
      </c>
      <c r="L31" s="1003"/>
      <c r="M31" s="1004"/>
      <c r="N31" s="1005"/>
      <c r="O31" s="1000">
        <v>3</v>
      </c>
      <c r="P31" s="1001"/>
      <c r="Q31" s="1002"/>
      <c r="R31" s="1006"/>
      <c r="S31" s="1001"/>
      <c r="T31" s="1007"/>
      <c r="U31" s="1001"/>
      <c r="V31" s="1000"/>
      <c r="W31" s="1000"/>
      <c r="X31" s="1008"/>
      <c r="Y31" s="1104">
        <v>8</v>
      </c>
      <c r="Z31" s="776">
        <v>7.3879999999999999</v>
      </c>
    </row>
    <row r="32" spans="2:26" s="90" customFormat="1" x14ac:dyDescent="0.2">
      <c r="B32" s="999">
        <f t="shared" si="0"/>
        <v>20</v>
      </c>
      <c r="C32" s="1009" t="s">
        <v>367</v>
      </c>
      <c r="D32" s="989">
        <f>F32+G32+I32+O32</f>
        <v>8</v>
      </c>
      <c r="E32" s="1000">
        <v>5</v>
      </c>
      <c r="F32" s="1000">
        <v>8</v>
      </c>
      <c r="G32" s="1000"/>
      <c r="H32" s="1000"/>
      <c r="I32" s="1000"/>
      <c r="J32" s="1001"/>
      <c r="K32" s="1002"/>
      <c r="L32" s="1003"/>
      <c r="M32" s="1004"/>
      <c r="N32" s="1005"/>
      <c r="O32" s="1000"/>
      <c r="P32" s="1001"/>
      <c r="Q32" s="1002"/>
      <c r="R32" s="1006"/>
      <c r="S32" s="1001"/>
      <c r="T32" s="1007"/>
      <c r="U32" s="1001"/>
      <c r="V32" s="1000"/>
      <c r="W32" s="1000"/>
      <c r="X32" s="1008"/>
      <c r="Y32" s="1104">
        <v>3</v>
      </c>
      <c r="Z32" s="776">
        <v>1.3169999999999999</v>
      </c>
    </row>
    <row r="33" spans="2:26" s="90" customFormat="1" x14ac:dyDescent="0.2">
      <c r="B33" s="999">
        <f t="shared" si="0"/>
        <v>21</v>
      </c>
      <c r="C33" s="135" t="s">
        <v>218</v>
      </c>
      <c r="D33" s="989">
        <f>F33+G33+I33+O33</f>
        <v>2</v>
      </c>
      <c r="E33" s="1000">
        <v>1</v>
      </c>
      <c r="F33" s="1000">
        <v>2</v>
      </c>
      <c r="G33" s="1000"/>
      <c r="H33" s="1000" t="s">
        <v>357</v>
      </c>
      <c r="I33" s="1000"/>
      <c r="J33" s="1001"/>
      <c r="K33" s="1002"/>
      <c r="L33" s="1003"/>
      <c r="M33" s="1004"/>
      <c r="N33" s="1005"/>
      <c r="O33" s="1000"/>
      <c r="P33" s="1001"/>
      <c r="Q33" s="1002"/>
      <c r="R33" s="1006"/>
      <c r="S33" s="1001"/>
      <c r="T33" s="1007"/>
      <c r="U33" s="1001"/>
      <c r="V33" s="1000"/>
      <c r="W33" s="1000"/>
      <c r="X33" s="1008"/>
      <c r="Y33" s="1104">
        <v>2</v>
      </c>
      <c r="Z33" s="776">
        <v>0.878</v>
      </c>
    </row>
    <row r="34" spans="2:26" s="90" customFormat="1" x14ac:dyDescent="0.2">
      <c r="B34" s="999">
        <f t="shared" si="0"/>
        <v>22</v>
      </c>
      <c r="C34" s="135" t="s">
        <v>219</v>
      </c>
      <c r="D34" s="989">
        <f>F34+G34+I34+O34</f>
        <v>2</v>
      </c>
      <c r="E34" s="1000">
        <v>0.5</v>
      </c>
      <c r="F34" s="1000">
        <v>2</v>
      </c>
      <c r="G34" s="1000"/>
      <c r="H34" s="1000" t="s">
        <v>135</v>
      </c>
      <c r="I34" s="1000"/>
      <c r="J34" s="1001"/>
      <c r="K34" s="1002"/>
      <c r="L34" s="1003"/>
      <c r="M34" s="1004"/>
      <c r="N34" s="1005"/>
      <c r="O34" s="1000"/>
      <c r="P34" s="1001"/>
      <c r="Q34" s="1002"/>
      <c r="R34" s="1006"/>
      <c r="S34" s="1001"/>
      <c r="T34" s="1007"/>
      <c r="U34" s="1001"/>
      <c r="V34" s="1000">
        <v>1</v>
      </c>
      <c r="W34" s="1000"/>
      <c r="X34" s="1008"/>
      <c r="Y34" s="1104">
        <v>6</v>
      </c>
      <c r="Z34" s="776">
        <v>1.393</v>
      </c>
    </row>
    <row r="35" spans="2:26" s="90" customFormat="1" x14ac:dyDescent="0.2">
      <c r="B35" s="999">
        <f t="shared" si="0"/>
        <v>23</v>
      </c>
      <c r="C35" s="135" t="s">
        <v>187</v>
      </c>
      <c r="D35" s="989">
        <f>F35+G35+I35+O35</f>
        <v>2</v>
      </c>
      <c r="E35" s="1000"/>
      <c r="F35" s="1000"/>
      <c r="G35" s="1000"/>
      <c r="H35" s="1000"/>
      <c r="I35" s="1000"/>
      <c r="J35" s="1001"/>
      <c r="K35" s="1002"/>
      <c r="L35" s="1003"/>
      <c r="M35" s="1010"/>
      <c r="N35" s="1005"/>
      <c r="O35" s="1000">
        <v>2</v>
      </c>
      <c r="P35" s="1001"/>
      <c r="Q35" s="1002" t="s">
        <v>368</v>
      </c>
      <c r="R35" s="1006"/>
      <c r="S35" s="1001"/>
      <c r="T35" s="1007"/>
      <c r="U35" s="1001"/>
      <c r="V35" s="1000"/>
      <c r="W35" s="1000"/>
      <c r="X35" s="1008"/>
      <c r="Y35" s="1104">
        <v>17</v>
      </c>
      <c r="Z35" s="776">
        <v>7.0979999999999999</v>
      </c>
    </row>
    <row r="36" spans="2:26" s="90" customFormat="1" x14ac:dyDescent="0.2">
      <c r="B36" s="999">
        <f t="shared" si="0"/>
        <v>24</v>
      </c>
      <c r="C36" s="135" t="s">
        <v>221</v>
      </c>
      <c r="D36" s="989">
        <f>F36+G36+I36+O36</f>
        <v>2</v>
      </c>
      <c r="E36" s="1000">
        <v>0.5</v>
      </c>
      <c r="F36" s="1000">
        <v>1</v>
      </c>
      <c r="G36" s="1000"/>
      <c r="H36" s="1000" t="s">
        <v>257</v>
      </c>
      <c r="I36" s="1000"/>
      <c r="J36" s="1001"/>
      <c r="K36" s="1002"/>
      <c r="L36" s="1003"/>
      <c r="M36" s="1004"/>
      <c r="N36" s="1005"/>
      <c r="O36" s="1000">
        <v>1</v>
      </c>
      <c r="P36" s="1001" t="s">
        <v>135</v>
      </c>
      <c r="Q36" s="1002"/>
      <c r="R36" s="1006"/>
      <c r="S36" s="1001"/>
      <c r="T36" s="1007"/>
      <c r="U36" s="1001"/>
      <c r="V36" s="1000"/>
      <c r="W36" s="1000"/>
      <c r="X36" s="1008"/>
      <c r="Y36" s="1104">
        <v>2</v>
      </c>
      <c r="Z36" s="776">
        <v>0.95779999999999998</v>
      </c>
    </row>
    <row r="37" spans="2:26" s="90" customFormat="1" x14ac:dyDescent="0.2">
      <c r="B37" s="999">
        <f t="shared" si="0"/>
        <v>25</v>
      </c>
      <c r="C37" s="135" t="s">
        <v>41</v>
      </c>
      <c r="D37" s="989">
        <f>F37+G37+I37+O37</f>
        <v>5</v>
      </c>
      <c r="E37" s="1000">
        <v>2</v>
      </c>
      <c r="F37" s="1000">
        <v>2</v>
      </c>
      <c r="G37" s="1000"/>
      <c r="H37" s="1000"/>
      <c r="I37" s="1000"/>
      <c r="J37" s="1001"/>
      <c r="K37" s="1002"/>
      <c r="L37" s="1003"/>
      <c r="M37" s="1004"/>
      <c r="N37" s="1005"/>
      <c r="O37" s="1000">
        <v>3</v>
      </c>
      <c r="P37" s="1001"/>
      <c r="Q37" s="1002"/>
      <c r="R37" s="1006"/>
      <c r="S37" s="1001"/>
      <c r="T37" s="1007"/>
      <c r="U37" s="1001"/>
      <c r="V37" s="1000">
        <v>5</v>
      </c>
      <c r="W37" s="1000"/>
      <c r="X37" s="1008"/>
      <c r="Y37" s="1104">
        <v>8</v>
      </c>
      <c r="Z37" s="776">
        <v>3.1440000000000001</v>
      </c>
    </row>
    <row r="38" spans="2:26" s="90" customFormat="1" x14ac:dyDescent="0.2">
      <c r="B38" s="999">
        <f t="shared" si="0"/>
        <v>26</v>
      </c>
      <c r="C38" s="135" t="s">
        <v>159</v>
      </c>
      <c r="D38" s="989">
        <f>F38+G38+I38+O38</f>
        <v>2</v>
      </c>
      <c r="E38" s="1000">
        <v>1</v>
      </c>
      <c r="F38" s="1000">
        <v>2</v>
      </c>
      <c r="G38" s="1000"/>
      <c r="H38" s="1000"/>
      <c r="I38" s="1000"/>
      <c r="J38" s="1001"/>
      <c r="K38" s="1002"/>
      <c r="L38" s="1003"/>
      <c r="M38" s="1010"/>
      <c r="N38" s="1005"/>
      <c r="O38" s="1000"/>
      <c r="P38" s="1001"/>
      <c r="Q38" s="1002"/>
      <c r="R38" s="1006"/>
      <c r="S38" s="1001"/>
      <c r="T38" s="1007"/>
      <c r="U38" s="1001"/>
      <c r="V38" s="1000"/>
      <c r="W38" s="1000"/>
      <c r="X38" s="1008"/>
      <c r="Y38" s="1104">
        <v>5</v>
      </c>
      <c r="Z38" s="776">
        <v>3.0059</v>
      </c>
    </row>
    <row r="39" spans="2:26" s="90" customFormat="1" x14ac:dyDescent="0.2">
      <c r="B39" s="999">
        <f t="shared" si="0"/>
        <v>27</v>
      </c>
      <c r="C39" s="1009" t="s">
        <v>226</v>
      </c>
      <c r="D39" s="989">
        <f>F39+G39+I39+O39</f>
        <v>10</v>
      </c>
      <c r="E39" s="1000"/>
      <c r="F39" s="1000"/>
      <c r="G39" s="1000">
        <v>10</v>
      </c>
      <c r="H39" s="1000"/>
      <c r="I39" s="1000"/>
      <c r="J39" s="1001"/>
      <c r="K39" s="1002"/>
      <c r="L39" s="1003"/>
      <c r="M39" s="1010"/>
      <c r="N39" s="1005"/>
      <c r="O39" s="1000"/>
      <c r="P39" s="1001"/>
      <c r="Q39" s="1002"/>
      <c r="R39" s="1006"/>
      <c r="S39" s="1001"/>
      <c r="T39" s="1007"/>
      <c r="U39" s="1001"/>
      <c r="V39" s="1000"/>
      <c r="W39" s="1000"/>
      <c r="X39" s="1008"/>
      <c r="Y39" s="775">
        <v>2</v>
      </c>
      <c r="Z39" s="776">
        <v>0.115</v>
      </c>
    </row>
    <row r="40" spans="2:26" s="90" customFormat="1" x14ac:dyDescent="0.2">
      <c r="B40" s="999">
        <f t="shared" si="0"/>
        <v>28</v>
      </c>
      <c r="C40" s="135" t="s">
        <v>161</v>
      </c>
      <c r="D40" s="989">
        <f>F40+G40+I40+O40</f>
        <v>8</v>
      </c>
      <c r="E40" s="1000">
        <v>2</v>
      </c>
      <c r="F40" s="1000">
        <v>4</v>
      </c>
      <c r="G40" s="1000">
        <v>4</v>
      </c>
      <c r="H40" s="1000" t="s">
        <v>356</v>
      </c>
      <c r="I40" s="1000"/>
      <c r="J40" s="1001"/>
      <c r="K40" s="1002"/>
      <c r="L40" s="1003"/>
      <c r="M40" s="1010"/>
      <c r="N40" s="1005"/>
      <c r="O40" s="1000"/>
      <c r="P40" s="1001"/>
      <c r="Q40" s="1002"/>
      <c r="R40" s="1006"/>
      <c r="S40" s="1001"/>
      <c r="T40" s="1007"/>
      <c r="U40" s="1001"/>
      <c r="V40" s="1000"/>
      <c r="W40" s="1000"/>
      <c r="X40" s="1008"/>
      <c r="Y40" s="1104">
        <v>1</v>
      </c>
      <c r="Z40" s="776">
        <v>0.47889999999999999</v>
      </c>
    </row>
    <row r="41" spans="2:26" s="90" customFormat="1" x14ac:dyDescent="0.2">
      <c r="B41" s="999">
        <f t="shared" si="0"/>
        <v>29</v>
      </c>
      <c r="C41" s="135" t="s">
        <v>228</v>
      </c>
      <c r="D41" s="989">
        <f>F41+G41+I41+O41</f>
        <v>11</v>
      </c>
      <c r="E41" s="1000">
        <v>2</v>
      </c>
      <c r="F41" s="1000">
        <v>5</v>
      </c>
      <c r="G41" s="1000">
        <v>6</v>
      </c>
      <c r="H41" s="1000" t="s">
        <v>356</v>
      </c>
      <c r="I41" s="1000"/>
      <c r="J41" s="1001"/>
      <c r="K41" s="1002"/>
      <c r="L41" s="1003"/>
      <c r="M41" s="1010"/>
      <c r="N41" s="1005"/>
      <c r="O41" s="1000"/>
      <c r="P41" s="1001"/>
      <c r="Q41" s="1002"/>
      <c r="R41" s="1006"/>
      <c r="S41" s="1001"/>
      <c r="T41" s="1007"/>
      <c r="U41" s="1001"/>
      <c r="V41" s="1000"/>
      <c r="W41" s="1000"/>
      <c r="X41" s="1008"/>
      <c r="Y41" s="1104">
        <v>2</v>
      </c>
      <c r="Z41" s="776">
        <v>1.1140000000000001</v>
      </c>
    </row>
    <row r="42" spans="2:26" s="90" customFormat="1" x14ac:dyDescent="0.2">
      <c r="B42" s="999">
        <f t="shared" si="0"/>
        <v>30</v>
      </c>
      <c r="C42" s="135" t="s">
        <v>324</v>
      </c>
      <c r="D42" s="989">
        <f>F42+G42+I42+O42</f>
        <v>4</v>
      </c>
      <c r="E42" s="1000">
        <v>0.5</v>
      </c>
      <c r="F42" s="1000">
        <v>2</v>
      </c>
      <c r="G42" s="1000"/>
      <c r="H42" s="1000"/>
      <c r="I42" s="1000"/>
      <c r="J42" s="1001"/>
      <c r="K42" s="1002"/>
      <c r="L42" s="1003"/>
      <c r="M42" s="1010"/>
      <c r="N42" s="1005"/>
      <c r="O42" s="1000">
        <v>2</v>
      </c>
      <c r="P42" s="1001"/>
      <c r="Q42" s="1002"/>
      <c r="R42" s="1006"/>
      <c r="S42" s="1001"/>
      <c r="T42" s="1007"/>
      <c r="U42" s="1001">
        <v>3</v>
      </c>
      <c r="V42" s="1000"/>
      <c r="W42" s="1000"/>
      <c r="X42" s="1008"/>
      <c r="Y42" s="1104">
        <v>4</v>
      </c>
      <c r="Z42" s="776">
        <f>1.0169+0.9578</f>
        <v>1.9746999999999999</v>
      </c>
    </row>
    <row r="43" spans="2:26" s="90" customFormat="1" x14ac:dyDescent="0.2">
      <c r="B43" s="999">
        <f t="shared" si="0"/>
        <v>31</v>
      </c>
      <c r="C43" s="135" t="s">
        <v>264</v>
      </c>
      <c r="D43" s="989">
        <f>F43+G43+I43+O43</f>
        <v>3</v>
      </c>
      <c r="E43" s="1000">
        <v>1</v>
      </c>
      <c r="F43" s="1000">
        <v>3</v>
      </c>
      <c r="G43" s="1000"/>
      <c r="H43" s="1000"/>
      <c r="I43" s="1000"/>
      <c r="J43" s="1001"/>
      <c r="K43" s="1002"/>
      <c r="L43" s="1003"/>
      <c r="M43" s="1010"/>
      <c r="N43" s="1005"/>
      <c r="O43" s="1000"/>
      <c r="P43" s="1001"/>
      <c r="Q43" s="1002"/>
      <c r="R43" s="1006"/>
      <c r="S43" s="1001"/>
      <c r="T43" s="1007"/>
      <c r="U43" s="1001"/>
      <c r="V43" s="1000"/>
      <c r="W43" s="1000"/>
      <c r="X43" s="1008"/>
      <c r="Y43" s="1104">
        <v>7</v>
      </c>
      <c r="Z43" s="776">
        <v>5.4749999999999996</v>
      </c>
    </row>
    <row r="44" spans="2:26" s="90" customFormat="1" x14ac:dyDescent="0.2">
      <c r="B44" s="999">
        <f t="shared" si="0"/>
        <v>32</v>
      </c>
      <c r="C44" s="135" t="s">
        <v>230</v>
      </c>
      <c r="D44" s="989">
        <f>F44+G44+I44+O44</f>
        <v>17</v>
      </c>
      <c r="E44" s="1000">
        <v>2</v>
      </c>
      <c r="F44" s="1000">
        <v>4</v>
      </c>
      <c r="G44" s="1000">
        <v>8</v>
      </c>
      <c r="H44" s="1000" t="s">
        <v>356</v>
      </c>
      <c r="I44" s="1000"/>
      <c r="J44" s="1001"/>
      <c r="K44" s="1002"/>
      <c r="L44" s="1003"/>
      <c r="M44" s="1010"/>
      <c r="N44" s="1005"/>
      <c r="O44" s="1000">
        <v>5</v>
      </c>
      <c r="P44" s="1001"/>
      <c r="Q44" s="1002"/>
      <c r="R44" s="1006"/>
      <c r="S44" s="1001"/>
      <c r="T44" s="1007"/>
      <c r="U44" s="1001"/>
      <c r="V44" s="1000"/>
      <c r="W44" s="1000"/>
      <c r="X44" s="1008"/>
      <c r="Y44" s="1104">
        <f>5+1+1</f>
        <v>7</v>
      </c>
      <c r="Z44" s="776">
        <f>0.2875+0.4789+0.5085</f>
        <v>1.2748999999999999</v>
      </c>
    </row>
    <row r="45" spans="2:26" s="90" customFormat="1" x14ac:dyDescent="0.2">
      <c r="B45" s="999">
        <f t="shared" si="0"/>
        <v>33</v>
      </c>
      <c r="C45" s="135" t="s">
        <v>162</v>
      </c>
      <c r="D45" s="989">
        <f>F45+G45+I45+O45</f>
        <v>20</v>
      </c>
      <c r="E45" s="1000">
        <v>2</v>
      </c>
      <c r="F45" s="1000">
        <v>3</v>
      </c>
      <c r="G45" s="1000">
        <v>17</v>
      </c>
      <c r="H45" s="1000" t="s">
        <v>356</v>
      </c>
      <c r="I45" s="1000"/>
      <c r="J45" s="1001"/>
      <c r="K45" s="1002"/>
      <c r="L45" s="1003"/>
      <c r="M45" s="1010"/>
      <c r="N45" s="1005"/>
      <c r="O45" s="1000"/>
      <c r="P45" s="1001"/>
      <c r="Q45" s="1002"/>
      <c r="R45" s="1006"/>
      <c r="S45" s="1001"/>
      <c r="T45" s="1007"/>
      <c r="U45" s="1001"/>
      <c r="V45" s="1000"/>
      <c r="W45" s="1000"/>
      <c r="X45" s="1008"/>
      <c r="Y45" s="1104">
        <v>18</v>
      </c>
      <c r="Z45" s="776">
        <v>2.5474999999999999</v>
      </c>
    </row>
    <row r="46" spans="2:26" s="90" customFormat="1" x14ac:dyDescent="0.2">
      <c r="B46" s="999">
        <f t="shared" si="0"/>
        <v>34</v>
      </c>
      <c r="C46" s="135" t="s">
        <v>164</v>
      </c>
      <c r="D46" s="989">
        <f>F46+G46+I46+O46</f>
        <v>1</v>
      </c>
      <c r="E46" s="1000">
        <v>0.5</v>
      </c>
      <c r="F46" s="1000">
        <v>1</v>
      </c>
      <c r="G46" s="1000"/>
      <c r="H46" s="1000" t="s">
        <v>135</v>
      </c>
      <c r="I46" s="1000"/>
      <c r="J46" s="1001"/>
      <c r="K46" s="1002"/>
      <c r="L46" s="1003"/>
      <c r="M46" s="1010"/>
      <c r="N46" s="1005"/>
      <c r="O46" s="1000"/>
      <c r="P46" s="1001"/>
      <c r="Q46" s="1002"/>
      <c r="R46" s="1006"/>
      <c r="S46" s="1001"/>
      <c r="T46" s="1007"/>
      <c r="U46" s="1001"/>
      <c r="V46" s="1000"/>
      <c r="W46" s="1000"/>
      <c r="X46" s="1008"/>
      <c r="Y46" s="1104">
        <f>7+2</f>
        <v>9</v>
      </c>
      <c r="Z46" s="776">
        <f>0.5635+0.115+1.208</f>
        <v>1.8864999999999998</v>
      </c>
    </row>
    <row r="47" spans="2:26" s="90" customFormat="1" x14ac:dyDescent="0.2">
      <c r="B47" s="999">
        <f t="shared" si="0"/>
        <v>35</v>
      </c>
      <c r="C47" s="135" t="s">
        <v>108</v>
      </c>
      <c r="D47" s="989">
        <f>F47+G47+I47+O47</f>
        <v>5</v>
      </c>
      <c r="E47" s="1000"/>
      <c r="F47" s="1000"/>
      <c r="G47" s="1000">
        <v>2</v>
      </c>
      <c r="H47" s="1000" t="s">
        <v>370</v>
      </c>
      <c r="I47" s="1000"/>
      <c r="J47" s="1001"/>
      <c r="K47" s="1002"/>
      <c r="L47" s="1003"/>
      <c r="M47" s="1004"/>
      <c r="N47" s="1005"/>
      <c r="O47" s="1000">
        <v>3</v>
      </c>
      <c r="P47" s="1001"/>
      <c r="Q47" s="1002"/>
      <c r="R47" s="1006"/>
      <c r="S47" s="1001"/>
      <c r="T47" s="1007"/>
      <c r="U47" s="1001"/>
      <c r="V47" s="1000">
        <v>2</v>
      </c>
      <c r="W47" s="1000"/>
      <c r="X47" s="1008"/>
      <c r="Y47" s="1104">
        <v>3</v>
      </c>
      <c r="Z47" s="776">
        <f>0.7602+0.5085</f>
        <v>1.2686999999999999</v>
      </c>
    </row>
    <row r="48" spans="2:26" s="90" customFormat="1" x14ac:dyDescent="0.2">
      <c r="B48" s="999">
        <f t="shared" si="0"/>
        <v>36</v>
      </c>
      <c r="C48" s="1009" t="s">
        <v>167</v>
      </c>
      <c r="D48" s="989">
        <f>F48+G48+I48+O48</f>
        <v>10</v>
      </c>
      <c r="E48" s="1000"/>
      <c r="F48" s="1000">
        <v>4</v>
      </c>
      <c r="G48" s="1000"/>
      <c r="H48" s="1000"/>
      <c r="I48" s="1000"/>
      <c r="J48" s="1001"/>
      <c r="K48" s="1002"/>
      <c r="L48" s="1003"/>
      <c r="M48" s="1010"/>
      <c r="N48" s="1005"/>
      <c r="O48" s="1000">
        <v>6</v>
      </c>
      <c r="P48" s="1001"/>
      <c r="Q48" s="1002"/>
      <c r="R48" s="1006"/>
      <c r="S48" s="1001"/>
      <c r="T48" s="1007"/>
      <c r="U48" s="1001"/>
      <c r="V48" s="1000"/>
      <c r="W48" s="1000"/>
      <c r="X48" s="1008"/>
      <c r="Y48" s="1104">
        <v>17</v>
      </c>
      <c r="Z48" s="776">
        <v>1.6314</v>
      </c>
    </row>
    <row r="49" spans="2:26" s="90" customFormat="1" x14ac:dyDescent="0.2">
      <c r="B49" s="999">
        <f t="shared" si="0"/>
        <v>37</v>
      </c>
      <c r="C49" s="1009" t="s">
        <v>287</v>
      </c>
      <c r="D49" s="989">
        <f>F49+G49+I49+O49</f>
        <v>10</v>
      </c>
      <c r="E49" s="1000"/>
      <c r="F49" s="1000">
        <v>4</v>
      </c>
      <c r="G49" s="1000"/>
      <c r="H49" s="1000"/>
      <c r="I49" s="1000"/>
      <c r="J49" s="1001"/>
      <c r="K49" s="1002"/>
      <c r="L49" s="1003"/>
      <c r="M49" s="1010"/>
      <c r="N49" s="1005"/>
      <c r="O49" s="1000">
        <v>6</v>
      </c>
      <c r="P49" s="1001"/>
      <c r="Q49" s="1002"/>
      <c r="R49" s="1006"/>
      <c r="S49" s="1001"/>
      <c r="T49" s="1007"/>
      <c r="U49" s="1001"/>
      <c r="V49" s="1000"/>
      <c r="W49" s="1000"/>
      <c r="X49" s="1008"/>
      <c r="Y49" s="1104">
        <v>48</v>
      </c>
      <c r="Z49" s="776">
        <f>0.2301+13.68</f>
        <v>13.9101</v>
      </c>
    </row>
    <row r="50" spans="2:26" s="90" customFormat="1" x14ac:dyDescent="0.2">
      <c r="B50" s="999">
        <f t="shared" si="0"/>
        <v>38</v>
      </c>
      <c r="C50" s="1009" t="s">
        <v>288</v>
      </c>
      <c r="D50" s="989">
        <f>F50+G50+I50+O50</f>
        <v>6</v>
      </c>
      <c r="E50" s="1000"/>
      <c r="F50" s="1000"/>
      <c r="G50" s="1000"/>
      <c r="H50" s="1000"/>
      <c r="I50" s="1000"/>
      <c r="J50" s="1001"/>
      <c r="K50" s="1002"/>
      <c r="L50" s="1003"/>
      <c r="M50" s="1010"/>
      <c r="N50" s="1005"/>
      <c r="O50" s="1000">
        <v>6</v>
      </c>
      <c r="P50" s="1001"/>
      <c r="Q50" s="1002"/>
      <c r="R50" s="1006"/>
      <c r="S50" s="1001"/>
      <c r="T50" s="1007"/>
      <c r="U50" s="1001"/>
      <c r="V50" s="1000"/>
      <c r="W50" s="1000"/>
      <c r="X50" s="1008"/>
      <c r="Y50" s="1104">
        <v>23</v>
      </c>
      <c r="Z50" s="776">
        <v>24.091799999999999</v>
      </c>
    </row>
    <row r="51" spans="2:26" s="90" customFormat="1" x14ac:dyDescent="0.2">
      <c r="B51" s="999">
        <f t="shared" si="0"/>
        <v>39</v>
      </c>
      <c r="C51" s="1009" t="s">
        <v>232</v>
      </c>
      <c r="D51" s="989">
        <f>F51+G51+I51+O51</f>
        <v>6</v>
      </c>
      <c r="E51" s="1000"/>
      <c r="F51" s="1000">
        <v>6</v>
      </c>
      <c r="G51" s="1000"/>
      <c r="H51" s="1000"/>
      <c r="I51" s="1000"/>
      <c r="J51" s="1001"/>
      <c r="K51" s="1002"/>
      <c r="L51" s="1003"/>
      <c r="M51" s="1010"/>
      <c r="N51" s="1005"/>
      <c r="O51" s="1000"/>
      <c r="P51" s="1001"/>
      <c r="Q51" s="1002"/>
      <c r="R51" s="1006"/>
      <c r="S51" s="1001"/>
      <c r="T51" s="1007">
        <v>2</v>
      </c>
      <c r="U51" s="1001"/>
      <c r="V51" s="1000">
        <v>4</v>
      </c>
      <c r="W51" s="1000"/>
      <c r="X51" s="1008" t="s">
        <v>371</v>
      </c>
      <c r="Y51" s="1104">
        <v>3</v>
      </c>
      <c r="Z51" s="776">
        <v>0.73780000000000001</v>
      </c>
    </row>
    <row r="52" spans="2:26" s="90" customFormat="1" x14ac:dyDescent="0.2">
      <c r="B52" s="999">
        <f t="shared" si="0"/>
        <v>40</v>
      </c>
      <c r="C52" s="1009" t="s">
        <v>54</v>
      </c>
      <c r="D52" s="989">
        <f>F52+G52+I52+O52</f>
        <v>10</v>
      </c>
      <c r="E52" s="1000"/>
      <c r="F52" s="1000">
        <v>10</v>
      </c>
      <c r="G52" s="1000"/>
      <c r="H52" s="1000"/>
      <c r="I52" s="1000"/>
      <c r="J52" s="1001"/>
      <c r="K52" s="1002"/>
      <c r="L52" s="1003"/>
      <c r="M52" s="1010"/>
      <c r="N52" s="1005"/>
      <c r="O52" s="1000"/>
      <c r="P52" s="1001"/>
      <c r="Q52" s="1002"/>
      <c r="R52" s="1006"/>
      <c r="S52" s="1001"/>
      <c r="T52" s="1007">
        <v>4</v>
      </c>
      <c r="U52" s="1001"/>
      <c r="V52" s="1000">
        <v>5</v>
      </c>
      <c r="W52" s="1000"/>
      <c r="X52" s="1008" t="s">
        <v>372</v>
      </c>
      <c r="Y52" s="1104">
        <v>76</v>
      </c>
      <c r="Z52" s="776">
        <v>48.320399999999999</v>
      </c>
    </row>
    <row r="53" spans="2:26" s="90" customFormat="1" x14ac:dyDescent="0.2">
      <c r="B53" s="999">
        <f t="shared" si="0"/>
        <v>41</v>
      </c>
      <c r="C53" s="135" t="s">
        <v>234</v>
      </c>
      <c r="D53" s="989">
        <f>F53+G53+I53+O53</f>
        <v>3</v>
      </c>
      <c r="E53" s="1000"/>
      <c r="F53" s="1000"/>
      <c r="G53" s="1000"/>
      <c r="H53" s="1000"/>
      <c r="I53" s="1000"/>
      <c r="J53" s="1001"/>
      <c r="K53" s="1002"/>
      <c r="L53" s="1003"/>
      <c r="M53" s="1004"/>
      <c r="N53" s="1005"/>
      <c r="O53" s="1000">
        <v>3</v>
      </c>
      <c r="P53" s="1001"/>
      <c r="Q53" s="1002"/>
      <c r="R53" s="1006"/>
      <c r="S53" s="1001"/>
      <c r="T53" s="1007"/>
      <c r="U53" s="1001"/>
      <c r="V53" s="1000">
        <v>2</v>
      </c>
      <c r="W53" s="1000"/>
      <c r="X53" s="1008"/>
      <c r="Y53" s="1104">
        <v>7</v>
      </c>
      <c r="Z53" s="776">
        <f>1.6956+0.421+1.208</f>
        <v>3.3246000000000002</v>
      </c>
    </row>
    <row r="54" spans="2:26" s="90" customFormat="1" x14ac:dyDescent="0.2">
      <c r="B54" s="999">
        <f t="shared" si="0"/>
        <v>42</v>
      </c>
      <c r="C54" s="1011" t="s">
        <v>267</v>
      </c>
      <c r="D54" s="989">
        <f>F54+G54+I54+O54</f>
        <v>20</v>
      </c>
      <c r="E54" s="1000">
        <v>6</v>
      </c>
      <c r="F54" s="1000">
        <v>8</v>
      </c>
      <c r="G54" s="1000">
        <v>12</v>
      </c>
      <c r="H54" s="1000" t="s">
        <v>356</v>
      </c>
      <c r="I54" s="1000"/>
      <c r="J54" s="1001"/>
      <c r="K54" s="1002"/>
      <c r="L54" s="1003"/>
      <c r="M54" s="1010"/>
      <c r="N54" s="1005"/>
      <c r="O54" s="1000"/>
      <c r="P54" s="1001"/>
      <c r="Q54" s="1002"/>
      <c r="R54" s="1006"/>
      <c r="S54" s="1001"/>
      <c r="T54" s="1007"/>
      <c r="U54" s="1001"/>
      <c r="V54" s="1000"/>
      <c r="W54" s="1000"/>
      <c r="X54" s="1008"/>
      <c r="Y54" s="1104">
        <v>20</v>
      </c>
      <c r="Z54" s="776">
        <v>7.8490000000000002</v>
      </c>
    </row>
    <row r="55" spans="2:26" s="90" customFormat="1" x14ac:dyDescent="0.2">
      <c r="B55" s="999">
        <f t="shared" si="0"/>
        <v>43</v>
      </c>
      <c r="C55" s="1011" t="s">
        <v>55</v>
      </c>
      <c r="D55" s="989">
        <f>F55+G55+I55+O55</f>
        <v>9</v>
      </c>
      <c r="E55" s="1000">
        <v>5</v>
      </c>
      <c r="F55" s="1000">
        <v>6</v>
      </c>
      <c r="G55" s="1000"/>
      <c r="H55" s="1000"/>
      <c r="I55" s="1000"/>
      <c r="J55" s="1001"/>
      <c r="K55" s="1002"/>
      <c r="L55" s="1003"/>
      <c r="M55" s="1010"/>
      <c r="N55" s="1005"/>
      <c r="O55" s="1000">
        <v>3</v>
      </c>
      <c r="P55" s="1001"/>
      <c r="Q55" s="1002"/>
      <c r="R55" s="1006"/>
      <c r="S55" s="1001"/>
      <c r="T55" s="1007"/>
      <c r="U55" s="1001"/>
      <c r="V55" s="1000"/>
      <c r="W55" s="1000">
        <v>2</v>
      </c>
      <c r="X55" s="1008"/>
      <c r="Y55" s="1104">
        <v>12</v>
      </c>
      <c r="Z55" s="776">
        <f>2.242+1.130605</f>
        <v>3.3726050000000001</v>
      </c>
    </row>
    <row r="56" spans="2:26" s="90" customFormat="1" x14ac:dyDescent="0.2">
      <c r="B56" s="999">
        <f t="shared" si="0"/>
        <v>44</v>
      </c>
      <c r="C56" s="1011" t="s">
        <v>235</v>
      </c>
      <c r="D56" s="989">
        <f>F56+G56+I56+O56</f>
        <v>9</v>
      </c>
      <c r="E56" s="1000">
        <v>5</v>
      </c>
      <c r="F56" s="1000">
        <v>7</v>
      </c>
      <c r="G56" s="1000"/>
      <c r="H56" s="1000"/>
      <c r="I56" s="1000"/>
      <c r="J56" s="1001"/>
      <c r="K56" s="1002"/>
      <c r="L56" s="1003"/>
      <c r="M56" s="1010"/>
      <c r="N56" s="1005"/>
      <c r="O56" s="1000">
        <v>2</v>
      </c>
      <c r="P56" s="1001"/>
      <c r="Q56" s="1002"/>
      <c r="R56" s="1006"/>
      <c r="S56" s="1001"/>
      <c r="T56" s="1007"/>
      <c r="U56" s="1001"/>
      <c r="V56" s="1000">
        <v>3</v>
      </c>
      <c r="W56" s="1000"/>
      <c r="X56" s="1008"/>
      <c r="Y56" s="1104">
        <v>27</v>
      </c>
      <c r="Z56" s="776">
        <v>6.8524000000000003</v>
      </c>
    </row>
    <row r="57" spans="2:26" s="90" customFormat="1" x14ac:dyDescent="0.2">
      <c r="B57" s="999">
        <f t="shared" si="0"/>
        <v>45</v>
      </c>
      <c r="C57" s="1011" t="s">
        <v>373</v>
      </c>
      <c r="D57" s="989">
        <f>F57+G57+I57+O57</f>
        <v>10</v>
      </c>
      <c r="E57" s="1000">
        <v>5</v>
      </c>
      <c r="F57" s="1000">
        <v>6</v>
      </c>
      <c r="G57" s="1000"/>
      <c r="H57" s="1000"/>
      <c r="I57" s="1000"/>
      <c r="J57" s="1001"/>
      <c r="K57" s="1002"/>
      <c r="L57" s="1003"/>
      <c r="M57" s="1010"/>
      <c r="N57" s="1005"/>
      <c r="O57" s="1000">
        <v>4</v>
      </c>
      <c r="P57" s="1001"/>
      <c r="Q57" s="1002"/>
      <c r="R57" s="1006"/>
      <c r="S57" s="1001"/>
      <c r="T57" s="1007"/>
      <c r="U57" s="1001"/>
      <c r="V57" s="1000">
        <v>3</v>
      </c>
      <c r="W57" s="1000"/>
      <c r="X57" s="1008"/>
      <c r="Y57" s="1104">
        <v>3</v>
      </c>
      <c r="Z57" s="776">
        <v>1.4366000000000001</v>
      </c>
    </row>
    <row r="58" spans="2:26" s="90" customFormat="1" x14ac:dyDescent="0.2">
      <c r="B58" s="999">
        <f t="shared" si="0"/>
        <v>46</v>
      </c>
      <c r="C58" s="1009" t="s">
        <v>168</v>
      </c>
      <c r="D58" s="989">
        <f>F58+G58+I58+O58</f>
        <v>14</v>
      </c>
      <c r="E58" s="1000">
        <v>8</v>
      </c>
      <c r="F58" s="1000">
        <v>12</v>
      </c>
      <c r="G58" s="1000"/>
      <c r="H58" s="1000"/>
      <c r="I58" s="1000"/>
      <c r="J58" s="1001"/>
      <c r="K58" s="1002"/>
      <c r="L58" s="1003"/>
      <c r="M58" s="1004"/>
      <c r="N58" s="1005"/>
      <c r="O58" s="1000">
        <v>2</v>
      </c>
      <c r="P58" s="1001"/>
      <c r="Q58" s="1002"/>
      <c r="R58" s="1006"/>
      <c r="S58" s="1001"/>
      <c r="T58" s="1007"/>
      <c r="U58" s="1001"/>
      <c r="V58" s="1000">
        <v>2</v>
      </c>
      <c r="W58" s="1000">
        <v>5</v>
      </c>
      <c r="X58" s="1008"/>
      <c r="Y58" s="1104">
        <v>49</v>
      </c>
      <c r="Z58" s="776">
        <v>33.168599999999998</v>
      </c>
    </row>
    <row r="59" spans="2:26" s="90" customFormat="1" x14ac:dyDescent="0.2">
      <c r="B59" s="999">
        <f t="shared" si="0"/>
        <v>47</v>
      </c>
      <c r="C59" s="135" t="s">
        <v>59</v>
      </c>
      <c r="D59" s="989">
        <f>F59+G59+I59+O59</f>
        <v>15</v>
      </c>
      <c r="E59" s="1000">
        <v>10</v>
      </c>
      <c r="F59" s="1000">
        <v>11</v>
      </c>
      <c r="G59" s="1000"/>
      <c r="H59" s="1000"/>
      <c r="I59" s="1000"/>
      <c r="J59" s="1001"/>
      <c r="K59" s="1002"/>
      <c r="L59" s="1003"/>
      <c r="M59" s="1010"/>
      <c r="N59" s="1005"/>
      <c r="O59" s="1000">
        <v>4</v>
      </c>
      <c r="P59" s="1001"/>
      <c r="Q59" s="1002"/>
      <c r="R59" s="1006"/>
      <c r="S59" s="1001"/>
      <c r="T59" s="1007"/>
      <c r="U59" s="1001"/>
      <c r="V59" s="1000">
        <v>5</v>
      </c>
      <c r="W59" s="1000"/>
      <c r="X59" s="1008"/>
      <c r="Y59" s="1104">
        <v>54</v>
      </c>
      <c r="Z59" s="776">
        <v>21.4894</v>
      </c>
    </row>
    <row r="60" spans="2:26" s="90" customFormat="1" x14ac:dyDescent="0.2">
      <c r="B60" s="999">
        <f t="shared" si="0"/>
        <v>48</v>
      </c>
      <c r="C60" s="135" t="s">
        <v>169</v>
      </c>
      <c r="D60" s="989">
        <f>F60+G60+I60+O60</f>
        <v>11</v>
      </c>
      <c r="E60" s="1000"/>
      <c r="F60" s="1000">
        <v>8</v>
      </c>
      <c r="G60" s="1000"/>
      <c r="H60" s="1000"/>
      <c r="I60" s="1000"/>
      <c r="J60" s="1001"/>
      <c r="K60" s="1002"/>
      <c r="L60" s="1003"/>
      <c r="M60" s="1010"/>
      <c r="N60" s="1005"/>
      <c r="O60" s="1000">
        <v>3</v>
      </c>
      <c r="P60" s="1001"/>
      <c r="Q60" s="1002"/>
      <c r="R60" s="1006"/>
      <c r="S60" s="1001"/>
      <c r="T60" s="1007">
        <v>3</v>
      </c>
      <c r="U60" s="1001"/>
      <c r="V60" s="1000">
        <v>5</v>
      </c>
      <c r="W60" s="1000"/>
      <c r="X60" s="1008" t="s">
        <v>374</v>
      </c>
      <c r="Y60" s="1104">
        <v>13</v>
      </c>
      <c r="Z60" s="776">
        <v>4.6260000000000003</v>
      </c>
    </row>
    <row r="61" spans="2:26" s="90" customFormat="1" x14ac:dyDescent="0.2">
      <c r="B61" s="999">
        <f t="shared" si="0"/>
        <v>49</v>
      </c>
      <c r="C61" s="1009" t="s">
        <v>237</v>
      </c>
      <c r="D61" s="989">
        <f>F61+G61+I61+O61</f>
        <v>14</v>
      </c>
      <c r="E61" s="1000">
        <v>8</v>
      </c>
      <c r="F61" s="1000">
        <v>12</v>
      </c>
      <c r="G61" s="1000"/>
      <c r="H61" s="1000"/>
      <c r="I61" s="1000"/>
      <c r="J61" s="1001"/>
      <c r="K61" s="1002"/>
      <c r="L61" s="1003"/>
      <c r="M61" s="1004"/>
      <c r="N61" s="1005"/>
      <c r="O61" s="1000">
        <v>2</v>
      </c>
      <c r="P61" s="1001"/>
      <c r="Q61" s="1002"/>
      <c r="R61" s="1006"/>
      <c r="S61" s="1001"/>
      <c r="T61" s="1007"/>
      <c r="U61" s="1001"/>
      <c r="V61" s="1000"/>
      <c r="W61" s="1000"/>
      <c r="X61" s="1008"/>
      <c r="Y61" s="1104">
        <v>13</v>
      </c>
      <c r="Z61" s="776">
        <f>2.5423+0.2301+0.7602+0.673+0.421</f>
        <v>4.6266000000000007</v>
      </c>
    </row>
    <row r="62" spans="2:26" s="90" customFormat="1" x14ac:dyDescent="0.2">
      <c r="B62" s="999">
        <f t="shared" si="0"/>
        <v>50</v>
      </c>
      <c r="C62" s="135" t="s">
        <v>63</v>
      </c>
      <c r="D62" s="989">
        <f>F62+G62+I62+O62</f>
        <v>31</v>
      </c>
      <c r="E62" s="1000">
        <v>5</v>
      </c>
      <c r="F62" s="1000">
        <v>15</v>
      </c>
      <c r="G62" s="1000">
        <v>8</v>
      </c>
      <c r="H62" s="1000" t="s">
        <v>357</v>
      </c>
      <c r="I62" s="1000">
        <v>8</v>
      </c>
      <c r="J62" s="1001"/>
      <c r="K62" s="1002" t="s">
        <v>357</v>
      </c>
      <c r="L62" s="1003"/>
      <c r="M62" s="1004"/>
      <c r="N62" s="1005"/>
      <c r="O62" s="1000"/>
      <c r="P62" s="1001"/>
      <c r="Q62" s="1002"/>
      <c r="R62" s="1006"/>
      <c r="S62" s="1001"/>
      <c r="T62" s="1007"/>
      <c r="U62" s="1001"/>
      <c r="V62" s="1000"/>
      <c r="W62" s="1000"/>
      <c r="X62" s="1008"/>
      <c r="Y62" s="1104">
        <v>3</v>
      </c>
      <c r="Z62" s="776">
        <f>0.1127+0.842</f>
        <v>0.95469999999999999</v>
      </c>
    </row>
    <row r="63" spans="2:26" s="90" customFormat="1" x14ac:dyDescent="0.2">
      <c r="B63" s="999">
        <f t="shared" si="0"/>
        <v>51</v>
      </c>
      <c r="C63" s="1009" t="s">
        <v>66</v>
      </c>
      <c r="D63" s="989">
        <f>F63+G63+I63+O63</f>
        <v>10</v>
      </c>
      <c r="E63" s="1000">
        <v>8</v>
      </c>
      <c r="F63" s="1000">
        <v>10</v>
      </c>
      <c r="G63" s="1000"/>
      <c r="H63" s="1000"/>
      <c r="I63" s="1000"/>
      <c r="J63" s="1001"/>
      <c r="K63" s="1002"/>
      <c r="L63" s="1003"/>
      <c r="M63" s="1010"/>
      <c r="N63" s="1005"/>
      <c r="O63" s="1000"/>
      <c r="P63" s="1001"/>
      <c r="Q63" s="1002"/>
      <c r="R63" s="1006"/>
      <c r="S63" s="1001"/>
      <c r="T63" s="1007"/>
      <c r="U63" s="1001"/>
      <c r="V63" s="1000"/>
      <c r="W63" s="1000"/>
      <c r="X63" s="1008"/>
      <c r="Y63" s="1104">
        <v>2</v>
      </c>
      <c r="Z63" s="776">
        <v>0.44800000000000001</v>
      </c>
    </row>
    <row r="64" spans="2:26" s="90" customFormat="1" x14ac:dyDescent="0.2">
      <c r="B64" s="999">
        <f t="shared" si="0"/>
        <v>52</v>
      </c>
      <c r="C64" s="1009" t="s">
        <v>238</v>
      </c>
      <c r="D64" s="989">
        <f>F64+G64+I64+O64</f>
        <v>5</v>
      </c>
      <c r="E64" s="1000">
        <v>3</v>
      </c>
      <c r="F64" s="1000">
        <v>5</v>
      </c>
      <c r="G64" s="1000"/>
      <c r="H64" s="1000"/>
      <c r="I64" s="1000"/>
      <c r="J64" s="1001"/>
      <c r="K64" s="1002"/>
      <c r="L64" s="1003"/>
      <c r="M64" s="1004"/>
      <c r="N64" s="1005"/>
      <c r="O64" s="1000"/>
      <c r="P64" s="1001"/>
      <c r="Q64" s="1002"/>
      <c r="R64" s="1006"/>
      <c r="S64" s="1001"/>
      <c r="T64" s="1007"/>
      <c r="U64" s="1001"/>
      <c r="V64" s="1000"/>
      <c r="W64" s="1000"/>
      <c r="X64" s="1008"/>
      <c r="Y64" s="1104">
        <v>2</v>
      </c>
      <c r="Z64" s="776">
        <v>0.44800000000000001</v>
      </c>
    </row>
    <row r="65" spans="2:26" s="90" customFormat="1" x14ac:dyDescent="0.2">
      <c r="B65" s="999">
        <f t="shared" si="0"/>
        <v>53</v>
      </c>
      <c r="C65" s="1009" t="s">
        <v>67</v>
      </c>
      <c r="D65" s="989">
        <f>F65+G65+I65+O65</f>
        <v>8</v>
      </c>
      <c r="E65" s="1000">
        <v>7</v>
      </c>
      <c r="F65" s="1000">
        <v>8</v>
      </c>
      <c r="G65" s="1000"/>
      <c r="H65" s="1000"/>
      <c r="I65" s="1000"/>
      <c r="J65" s="1001"/>
      <c r="K65" s="1002"/>
      <c r="L65" s="1003"/>
      <c r="M65" s="1010"/>
      <c r="N65" s="1005"/>
      <c r="O65" s="1000"/>
      <c r="P65" s="1001"/>
      <c r="Q65" s="1002"/>
      <c r="R65" s="1006"/>
      <c r="S65" s="1001"/>
      <c r="T65" s="1007"/>
      <c r="U65" s="1001"/>
      <c r="V65" s="1000"/>
      <c r="W65" s="1000"/>
      <c r="X65" s="1008"/>
      <c r="Y65" s="1104">
        <v>30</v>
      </c>
      <c r="Z65" s="776">
        <f>6.6807+1.121+4.414</f>
        <v>12.2157</v>
      </c>
    </row>
    <row r="66" spans="2:26" s="90" customFormat="1" x14ac:dyDescent="0.2">
      <c r="B66" s="999">
        <f t="shared" si="0"/>
        <v>54</v>
      </c>
      <c r="C66" s="135" t="s">
        <v>338</v>
      </c>
      <c r="D66" s="989">
        <f>F66+G66+I66+O66</f>
        <v>13</v>
      </c>
      <c r="E66" s="1000">
        <v>1</v>
      </c>
      <c r="F66" s="1000">
        <v>4</v>
      </c>
      <c r="G66" s="1000">
        <v>8</v>
      </c>
      <c r="H66" s="1000" t="s">
        <v>356</v>
      </c>
      <c r="I66" s="1000">
        <v>1</v>
      </c>
      <c r="J66" s="1001">
        <v>0.5</v>
      </c>
      <c r="K66" s="1002" t="s">
        <v>135</v>
      </c>
      <c r="L66" s="1003"/>
      <c r="M66" s="1004"/>
      <c r="N66" s="1005"/>
      <c r="O66" s="1000"/>
      <c r="P66" s="1001"/>
      <c r="Q66" s="1002"/>
      <c r="R66" s="1006"/>
      <c r="S66" s="1001"/>
      <c r="T66" s="1007">
        <v>2</v>
      </c>
      <c r="U66" s="1001"/>
      <c r="V66" s="1000"/>
      <c r="W66" s="1000"/>
      <c r="X66" s="1008" t="s">
        <v>375</v>
      </c>
      <c r="Y66" s="1104">
        <v>3</v>
      </c>
      <c r="Z66" s="776">
        <v>1.6411</v>
      </c>
    </row>
    <row r="67" spans="2:26" s="90" customFormat="1" x14ac:dyDescent="0.2">
      <c r="B67" s="999">
        <f t="shared" si="0"/>
        <v>55</v>
      </c>
      <c r="C67" s="135" t="s">
        <v>69</v>
      </c>
      <c r="D67" s="989">
        <f>F67+G67+I67+O67</f>
        <v>14</v>
      </c>
      <c r="E67" s="1000">
        <v>3</v>
      </c>
      <c r="F67" s="1000">
        <v>5</v>
      </c>
      <c r="G67" s="1000">
        <v>4</v>
      </c>
      <c r="H67" s="1000" t="s">
        <v>356</v>
      </c>
      <c r="I67" s="1000"/>
      <c r="J67" s="1001"/>
      <c r="K67" s="1002"/>
      <c r="L67" s="1003"/>
      <c r="M67" s="1004"/>
      <c r="N67" s="1005"/>
      <c r="O67" s="1000">
        <v>5</v>
      </c>
      <c r="P67" s="1001">
        <v>1.6</v>
      </c>
      <c r="Q67" s="1002"/>
      <c r="R67" s="1006"/>
      <c r="S67" s="1001"/>
      <c r="T67" s="1007"/>
      <c r="U67" s="1001"/>
      <c r="V67" s="1000"/>
      <c r="W67" s="1000"/>
      <c r="X67" s="1008"/>
      <c r="Y67" s="1104">
        <v>8</v>
      </c>
      <c r="Z67" s="776">
        <f>1.5203+1.766</f>
        <v>3.2862999999999998</v>
      </c>
    </row>
    <row r="68" spans="2:26" s="90" customFormat="1" x14ac:dyDescent="0.2">
      <c r="B68" s="999">
        <f t="shared" si="0"/>
        <v>56</v>
      </c>
      <c r="C68" s="135" t="s">
        <v>239</v>
      </c>
      <c r="D68" s="989">
        <f>F68+G68+I68+O68</f>
        <v>7</v>
      </c>
      <c r="E68" s="1000">
        <v>2</v>
      </c>
      <c r="F68" s="1000">
        <v>4</v>
      </c>
      <c r="G68" s="1000"/>
      <c r="H68" s="1000"/>
      <c r="I68" s="1000"/>
      <c r="J68" s="1001"/>
      <c r="K68" s="1002"/>
      <c r="L68" s="1003"/>
      <c r="M68" s="1004"/>
      <c r="N68" s="1005"/>
      <c r="O68" s="1000">
        <v>3</v>
      </c>
      <c r="P68" s="1001">
        <v>0.5</v>
      </c>
      <c r="Q68" s="1002"/>
      <c r="R68" s="1006"/>
      <c r="S68" s="1001"/>
      <c r="T68" s="1007"/>
      <c r="U68" s="1001"/>
      <c r="V68" s="1000"/>
      <c r="W68" s="1000"/>
      <c r="X68" s="1008"/>
      <c r="Y68" s="1104">
        <v>5</v>
      </c>
      <c r="Z68" s="776">
        <f>1.6411+0.9578</f>
        <v>2.5989</v>
      </c>
    </row>
    <row r="69" spans="2:26" s="90" customFormat="1" x14ac:dyDescent="0.2">
      <c r="B69" s="999">
        <f t="shared" si="0"/>
        <v>57</v>
      </c>
      <c r="C69" s="135" t="s">
        <v>240</v>
      </c>
      <c r="D69" s="989">
        <f>F69+G69+I69+O69</f>
        <v>2</v>
      </c>
      <c r="E69" s="1000"/>
      <c r="F69" s="1000"/>
      <c r="G69" s="1000">
        <v>2</v>
      </c>
      <c r="H69" s="1000" t="s">
        <v>357</v>
      </c>
      <c r="I69" s="1000"/>
      <c r="J69" s="1001"/>
      <c r="K69" s="1002"/>
      <c r="L69" s="1003"/>
      <c r="M69" s="1010"/>
      <c r="N69" s="1005"/>
      <c r="O69" s="1000"/>
      <c r="P69" s="1001"/>
      <c r="Q69" s="1002"/>
      <c r="R69" s="1006"/>
      <c r="S69" s="1001"/>
      <c r="T69" s="1007"/>
      <c r="U69" s="1001"/>
      <c r="V69" s="1000"/>
      <c r="W69" s="1000"/>
      <c r="X69" s="1008"/>
      <c r="Y69" s="1104">
        <v>2</v>
      </c>
      <c r="Z69" s="776">
        <v>2.6819999999999999</v>
      </c>
    </row>
    <row r="70" spans="2:26" s="90" customFormat="1" x14ac:dyDescent="0.2">
      <c r="B70" s="999">
        <f t="shared" si="0"/>
        <v>58</v>
      </c>
      <c r="C70" s="135" t="s">
        <v>71</v>
      </c>
      <c r="D70" s="989">
        <f>F70+G70+I70+O70</f>
        <v>12</v>
      </c>
      <c r="E70" s="1000">
        <v>2</v>
      </c>
      <c r="F70" s="1000">
        <v>4</v>
      </c>
      <c r="G70" s="1000">
        <v>4</v>
      </c>
      <c r="H70" s="1000" t="s">
        <v>356</v>
      </c>
      <c r="I70" s="1000"/>
      <c r="J70" s="1001"/>
      <c r="K70" s="1002"/>
      <c r="L70" s="1003"/>
      <c r="M70" s="1004"/>
      <c r="N70" s="1005"/>
      <c r="O70" s="1000">
        <v>4</v>
      </c>
      <c r="P70" s="1001"/>
      <c r="Q70" s="1002"/>
      <c r="R70" s="1006"/>
      <c r="S70" s="1001"/>
      <c r="T70" s="1007"/>
      <c r="U70" s="1001"/>
      <c r="V70" s="1000"/>
      <c r="W70" s="1000"/>
      <c r="X70" s="1008"/>
      <c r="Y70" s="1104">
        <v>17</v>
      </c>
      <c r="Z70" s="776">
        <v>4.5746000000000002</v>
      </c>
    </row>
    <row r="71" spans="2:26" s="90" customFormat="1" x14ac:dyDescent="0.2">
      <c r="B71" s="999">
        <f t="shared" si="0"/>
        <v>59</v>
      </c>
      <c r="C71" s="135" t="s">
        <v>290</v>
      </c>
      <c r="D71" s="989">
        <f>F71+G71+I71+O71</f>
        <v>2</v>
      </c>
      <c r="E71" s="1000"/>
      <c r="F71" s="1000"/>
      <c r="G71" s="1000"/>
      <c r="H71" s="1000"/>
      <c r="I71" s="1000"/>
      <c r="J71" s="1001"/>
      <c r="K71" s="1002"/>
      <c r="L71" s="1003"/>
      <c r="M71" s="1004"/>
      <c r="N71" s="1005"/>
      <c r="O71" s="1000">
        <v>2</v>
      </c>
      <c r="P71" s="1001"/>
      <c r="Q71" s="1002"/>
      <c r="R71" s="1006"/>
      <c r="S71" s="1001"/>
      <c r="T71" s="1007"/>
      <c r="U71" s="1001">
        <v>5</v>
      </c>
      <c r="V71" s="1000"/>
      <c r="W71" s="1000"/>
      <c r="X71" s="1008"/>
      <c r="Y71" s="1012">
        <v>10</v>
      </c>
      <c r="Z71" s="790">
        <v>3.9710000000000001</v>
      </c>
    </row>
    <row r="72" spans="2:26" s="90" customFormat="1" x14ac:dyDescent="0.2">
      <c r="B72" s="999">
        <f t="shared" si="0"/>
        <v>60</v>
      </c>
      <c r="C72" s="135" t="s">
        <v>112</v>
      </c>
      <c r="D72" s="989">
        <f>F72+G72+I72+O72</f>
        <v>8</v>
      </c>
      <c r="E72" s="1000">
        <v>8</v>
      </c>
      <c r="F72" s="1000">
        <v>8</v>
      </c>
      <c r="G72" s="1000"/>
      <c r="H72" s="1000"/>
      <c r="I72" s="1000"/>
      <c r="J72" s="1001"/>
      <c r="K72" s="1002"/>
      <c r="L72" s="1003"/>
      <c r="M72" s="1010"/>
      <c r="N72" s="1005"/>
      <c r="O72" s="1000"/>
      <c r="P72" s="1001"/>
      <c r="Q72" s="1002"/>
      <c r="R72" s="1006"/>
      <c r="S72" s="1001"/>
      <c r="T72" s="1007"/>
      <c r="U72" s="1001">
        <v>6</v>
      </c>
      <c r="V72" s="1000"/>
      <c r="W72" s="1000"/>
      <c r="X72" s="1008"/>
      <c r="Y72" s="1104">
        <v>12</v>
      </c>
      <c r="Z72" s="776">
        <f>4.5255+0.842</f>
        <v>5.3674999999999997</v>
      </c>
    </row>
    <row r="73" spans="2:26" s="90" customFormat="1" x14ac:dyDescent="0.2">
      <c r="B73" s="999">
        <f t="shared" si="0"/>
        <v>61</v>
      </c>
      <c r="C73" s="135" t="s">
        <v>75</v>
      </c>
      <c r="D73" s="989">
        <f>F73+G73+I73+O73</f>
        <v>8</v>
      </c>
      <c r="E73" s="1000">
        <v>8</v>
      </c>
      <c r="F73" s="1000">
        <v>8</v>
      </c>
      <c r="G73" s="1000"/>
      <c r="H73" s="1000"/>
      <c r="I73" s="1000"/>
      <c r="J73" s="1001"/>
      <c r="K73" s="1002"/>
      <c r="L73" s="1003"/>
      <c r="M73" s="1010"/>
      <c r="N73" s="1005"/>
      <c r="O73" s="1000"/>
      <c r="P73" s="1001"/>
      <c r="Q73" s="1002"/>
      <c r="R73" s="1006"/>
      <c r="S73" s="1001"/>
      <c r="T73" s="1007"/>
      <c r="U73" s="1001">
        <v>6</v>
      </c>
      <c r="V73" s="1000"/>
      <c r="W73" s="1000"/>
      <c r="X73" s="1008"/>
      <c r="Y73" s="1104">
        <v>12</v>
      </c>
      <c r="Z73" s="776">
        <v>6.3120000000000003</v>
      </c>
    </row>
    <row r="74" spans="2:26" s="90" customFormat="1" x14ac:dyDescent="0.2">
      <c r="B74" s="999">
        <f t="shared" si="0"/>
        <v>62</v>
      </c>
      <c r="C74" s="135" t="s">
        <v>77</v>
      </c>
      <c r="D74" s="989">
        <f>F74+G74+I74+O74</f>
        <v>5</v>
      </c>
      <c r="E74" s="1000">
        <v>5</v>
      </c>
      <c r="F74" s="1000">
        <v>5</v>
      </c>
      <c r="G74" s="1000"/>
      <c r="H74" s="1000"/>
      <c r="I74" s="1000"/>
      <c r="J74" s="1001"/>
      <c r="K74" s="1002"/>
      <c r="L74" s="1003"/>
      <c r="M74" s="1010"/>
      <c r="N74" s="1005"/>
      <c r="O74" s="1000"/>
      <c r="P74" s="1001"/>
      <c r="Q74" s="1002"/>
      <c r="R74" s="1006"/>
      <c r="S74" s="1001"/>
      <c r="T74" s="1007"/>
      <c r="U74" s="1001">
        <v>4</v>
      </c>
      <c r="V74" s="1000"/>
      <c r="W74" s="1000"/>
      <c r="X74" s="1008"/>
      <c r="Y74" s="1104">
        <v>6</v>
      </c>
      <c r="Z74" s="776">
        <v>1.9921000000000002</v>
      </c>
    </row>
    <row r="75" spans="2:26" s="90" customFormat="1" x14ac:dyDescent="0.2">
      <c r="B75" s="999">
        <f t="shared" si="0"/>
        <v>63</v>
      </c>
      <c r="C75" s="135" t="s">
        <v>114</v>
      </c>
      <c r="D75" s="989">
        <f>F75+G75+I75+O75</f>
        <v>20</v>
      </c>
      <c r="E75" s="1000">
        <v>10</v>
      </c>
      <c r="F75" s="1000">
        <v>20</v>
      </c>
      <c r="G75" s="1000"/>
      <c r="H75" s="1000"/>
      <c r="I75" s="1000"/>
      <c r="J75" s="1001"/>
      <c r="K75" s="1002"/>
      <c r="L75" s="1003"/>
      <c r="M75" s="1004"/>
      <c r="N75" s="1005"/>
      <c r="O75" s="1000"/>
      <c r="P75" s="1001"/>
      <c r="Q75" s="1002"/>
      <c r="R75" s="1006"/>
      <c r="S75" s="1001"/>
      <c r="T75" s="1007"/>
      <c r="U75" s="1001"/>
      <c r="V75" s="1000"/>
      <c r="W75" s="1000"/>
      <c r="X75" s="1008"/>
      <c r="Y75" s="1012">
        <v>90</v>
      </c>
      <c r="Z75" s="790">
        <v>114.30249999999999</v>
      </c>
    </row>
    <row r="76" spans="2:26" s="90" customFormat="1" x14ac:dyDescent="0.2">
      <c r="B76" s="999">
        <f t="shared" si="0"/>
        <v>64</v>
      </c>
      <c r="C76" s="135" t="s">
        <v>116</v>
      </c>
      <c r="D76" s="989">
        <f>F76+G76+I76+O76</f>
        <v>4</v>
      </c>
      <c r="E76" s="1000">
        <v>4</v>
      </c>
      <c r="F76" s="1000">
        <v>4</v>
      </c>
      <c r="G76" s="1000"/>
      <c r="H76" s="1000"/>
      <c r="I76" s="1000"/>
      <c r="J76" s="1001"/>
      <c r="K76" s="1002"/>
      <c r="L76" s="1003"/>
      <c r="M76" s="1010"/>
      <c r="N76" s="1005"/>
      <c r="O76" s="1000"/>
      <c r="P76" s="1001"/>
      <c r="Q76" s="1002"/>
      <c r="R76" s="1006"/>
      <c r="S76" s="1001"/>
      <c r="T76" s="1007"/>
      <c r="U76" s="1001">
        <v>5</v>
      </c>
      <c r="V76" s="1000"/>
      <c r="W76" s="1000"/>
      <c r="X76" s="1008"/>
      <c r="Y76" s="1104">
        <v>22</v>
      </c>
      <c r="Z76" s="776">
        <v>8.5459999999999994</v>
      </c>
    </row>
    <row r="77" spans="2:26" s="90" customFormat="1" x14ac:dyDescent="0.2">
      <c r="B77" s="999">
        <f t="shared" si="0"/>
        <v>65</v>
      </c>
      <c r="C77" s="135" t="s">
        <v>122</v>
      </c>
      <c r="D77" s="989">
        <f>F77+G77+I77+O77</f>
        <v>4</v>
      </c>
      <c r="E77" s="1000">
        <v>4</v>
      </c>
      <c r="F77" s="1000">
        <v>4</v>
      </c>
      <c r="G77" s="1000"/>
      <c r="H77" s="1000"/>
      <c r="I77" s="1000"/>
      <c r="J77" s="1001"/>
      <c r="K77" s="1002"/>
      <c r="L77" s="1003"/>
      <c r="M77" s="1010"/>
      <c r="N77" s="1005"/>
      <c r="O77" s="1000"/>
      <c r="P77" s="1001"/>
      <c r="Q77" s="1002"/>
      <c r="R77" s="1006"/>
      <c r="S77" s="1001"/>
      <c r="T77" s="1007"/>
      <c r="U77" s="1001">
        <v>5</v>
      </c>
      <c r="V77" s="1000"/>
      <c r="W77" s="1000"/>
      <c r="X77" s="1008"/>
      <c r="Y77" s="1104">
        <v>9</v>
      </c>
      <c r="Z77" s="776">
        <v>2.089</v>
      </c>
    </row>
    <row r="78" spans="2:26" s="90" customFormat="1" x14ac:dyDescent="0.2">
      <c r="B78" s="999">
        <f t="shared" ref="B78:B129" si="1">B77+1</f>
        <v>66</v>
      </c>
      <c r="C78" s="135" t="s">
        <v>190</v>
      </c>
      <c r="D78" s="989">
        <f>F78+G78+I78+O78</f>
        <v>2</v>
      </c>
      <c r="E78" s="1000">
        <v>2</v>
      </c>
      <c r="F78" s="1000">
        <v>2</v>
      </c>
      <c r="G78" s="1000"/>
      <c r="H78" s="1000"/>
      <c r="I78" s="1000"/>
      <c r="J78" s="1001"/>
      <c r="K78" s="1002"/>
      <c r="L78" s="1003"/>
      <c r="M78" s="1004"/>
      <c r="N78" s="1005"/>
      <c r="O78" s="1000"/>
      <c r="P78" s="1001"/>
      <c r="Q78" s="1002"/>
      <c r="R78" s="1006"/>
      <c r="S78" s="1001"/>
      <c r="T78" s="1007"/>
      <c r="U78" s="1001">
        <v>5</v>
      </c>
      <c r="V78" s="1000"/>
      <c r="W78" s="1000"/>
      <c r="X78" s="1008"/>
      <c r="Y78" s="1012">
        <v>8</v>
      </c>
      <c r="Z78" s="790">
        <v>0.51519999999999999</v>
      </c>
    </row>
    <row r="79" spans="2:26" s="90" customFormat="1" x14ac:dyDescent="0.2">
      <c r="B79" s="999">
        <f t="shared" si="1"/>
        <v>67</v>
      </c>
      <c r="C79" s="135" t="s">
        <v>121</v>
      </c>
      <c r="D79" s="989">
        <f>F79+G79+I79+O79</f>
        <v>5</v>
      </c>
      <c r="E79" s="1000">
        <v>5</v>
      </c>
      <c r="F79" s="1000">
        <v>5</v>
      </c>
      <c r="G79" s="1000"/>
      <c r="H79" s="1000"/>
      <c r="I79" s="1000"/>
      <c r="J79" s="1001"/>
      <c r="K79" s="1002"/>
      <c r="L79" s="1003"/>
      <c r="M79" s="1010"/>
      <c r="N79" s="1005"/>
      <c r="O79" s="1000"/>
      <c r="P79" s="1001"/>
      <c r="Q79" s="1002"/>
      <c r="R79" s="1006"/>
      <c r="S79" s="1001"/>
      <c r="T79" s="1007"/>
      <c r="U79" s="1001">
        <v>6</v>
      </c>
      <c r="V79" s="1000"/>
      <c r="W79" s="1000"/>
      <c r="X79" s="1008"/>
      <c r="Y79" s="1104">
        <v>2</v>
      </c>
      <c r="Z79" s="776">
        <v>0.70579999999999998</v>
      </c>
    </row>
    <row r="80" spans="2:26" s="90" customFormat="1" x14ac:dyDescent="0.2">
      <c r="B80" s="999">
        <f t="shared" si="1"/>
        <v>68</v>
      </c>
      <c r="C80" s="135" t="s">
        <v>269</v>
      </c>
      <c r="D80" s="989">
        <f>F80+G80+I80+O80</f>
        <v>12</v>
      </c>
      <c r="E80" s="1000">
        <v>6</v>
      </c>
      <c r="F80" s="1000">
        <v>3</v>
      </c>
      <c r="G80" s="1000">
        <v>4</v>
      </c>
      <c r="H80" s="1000"/>
      <c r="I80" s="1000"/>
      <c r="J80" s="1001"/>
      <c r="K80" s="1002"/>
      <c r="L80" s="1003"/>
      <c r="M80" s="1004"/>
      <c r="N80" s="1005"/>
      <c r="O80" s="1000">
        <v>5</v>
      </c>
      <c r="P80" s="1001"/>
      <c r="Q80" s="1002" t="s">
        <v>376</v>
      </c>
      <c r="R80" s="1006"/>
      <c r="S80" s="1001"/>
      <c r="T80" s="1007"/>
      <c r="U80" s="1001">
        <v>6</v>
      </c>
      <c r="V80" s="1000"/>
      <c r="W80" s="1000"/>
      <c r="X80" s="1008"/>
      <c r="Y80" s="1104">
        <v>8</v>
      </c>
      <c r="Z80" s="776">
        <v>1.9019999999999999</v>
      </c>
    </row>
    <row r="81" spans="2:26" s="90" customFormat="1" x14ac:dyDescent="0.2">
      <c r="B81" s="999">
        <f t="shared" si="1"/>
        <v>69</v>
      </c>
      <c r="C81" s="1011" t="s">
        <v>174</v>
      </c>
      <c r="D81" s="989">
        <f>F81+G81+I81+O81</f>
        <v>5</v>
      </c>
      <c r="E81" s="1000">
        <v>2</v>
      </c>
      <c r="F81" s="1000">
        <v>5</v>
      </c>
      <c r="G81" s="1000"/>
      <c r="H81" s="1000"/>
      <c r="I81" s="1000"/>
      <c r="J81" s="1001"/>
      <c r="K81" s="1002"/>
      <c r="L81" s="1003"/>
      <c r="M81" s="1010"/>
      <c r="N81" s="1005"/>
      <c r="O81" s="1000"/>
      <c r="P81" s="1001"/>
      <c r="Q81" s="1002"/>
      <c r="R81" s="1006"/>
      <c r="S81" s="1001"/>
      <c r="T81" s="1007"/>
      <c r="U81" s="1001">
        <v>8</v>
      </c>
      <c r="V81" s="1000"/>
      <c r="W81" s="1000"/>
      <c r="X81" s="1008"/>
      <c r="Y81" s="1104">
        <v>32</v>
      </c>
      <c r="Z81" s="776">
        <v>34.613999999999997</v>
      </c>
    </row>
    <row r="82" spans="2:26" s="90" customFormat="1" x14ac:dyDescent="0.2">
      <c r="B82" s="999">
        <f t="shared" si="1"/>
        <v>70</v>
      </c>
      <c r="C82" s="135" t="s">
        <v>175</v>
      </c>
      <c r="D82" s="989">
        <f>F82+G82+I82+O82</f>
        <v>30</v>
      </c>
      <c r="E82" s="1000">
        <v>7</v>
      </c>
      <c r="F82" s="1000">
        <v>20</v>
      </c>
      <c r="G82" s="1000">
        <v>10</v>
      </c>
      <c r="H82" s="1000"/>
      <c r="I82" s="1000"/>
      <c r="J82" s="1001"/>
      <c r="K82" s="1002"/>
      <c r="L82" s="1003"/>
      <c r="M82" s="1004"/>
      <c r="N82" s="1005"/>
      <c r="O82" s="1000"/>
      <c r="P82" s="1001"/>
      <c r="Q82" s="1002"/>
      <c r="R82" s="1006"/>
      <c r="S82" s="1001"/>
      <c r="T82" s="1007"/>
      <c r="U82" s="1001">
        <v>25</v>
      </c>
      <c r="V82" s="1000"/>
      <c r="W82" s="1000"/>
      <c r="X82" s="1008"/>
      <c r="Y82" s="1012">
        <v>53</v>
      </c>
      <c r="Z82" s="790">
        <v>39.832999999999998</v>
      </c>
    </row>
    <row r="83" spans="2:26" s="90" customFormat="1" x14ac:dyDescent="0.2">
      <c r="B83" s="999">
        <f t="shared" si="1"/>
        <v>71</v>
      </c>
      <c r="C83" s="135" t="s">
        <v>377</v>
      </c>
      <c r="D83" s="989">
        <f>F83+G83+I83+O83</f>
        <v>20</v>
      </c>
      <c r="E83" s="1000">
        <v>10</v>
      </c>
      <c r="F83" s="1000">
        <v>20</v>
      </c>
      <c r="G83" s="1000"/>
      <c r="H83" s="1000"/>
      <c r="I83" s="1000"/>
      <c r="J83" s="1001"/>
      <c r="K83" s="1002"/>
      <c r="L83" s="1003"/>
      <c r="M83" s="1004"/>
      <c r="N83" s="1005"/>
      <c r="O83" s="1000"/>
      <c r="P83" s="1001"/>
      <c r="Q83" s="1002"/>
      <c r="R83" s="1006"/>
      <c r="S83" s="1001"/>
      <c r="T83" s="1007"/>
      <c r="U83" s="1001">
        <v>20</v>
      </c>
      <c r="V83" s="1000"/>
      <c r="W83" s="1000"/>
      <c r="X83" s="1008"/>
      <c r="Y83" s="1012">
        <v>73</v>
      </c>
      <c r="Z83" s="790">
        <v>29.242000000000001</v>
      </c>
    </row>
    <row r="84" spans="2:26" s="90" customFormat="1" x14ac:dyDescent="0.2">
      <c r="B84" s="999">
        <f t="shared" si="1"/>
        <v>72</v>
      </c>
      <c r="C84" s="135" t="s">
        <v>241</v>
      </c>
      <c r="D84" s="989">
        <f>F84+G84+I84+O84</f>
        <v>7</v>
      </c>
      <c r="E84" s="1000"/>
      <c r="F84" s="1000"/>
      <c r="G84" s="1000">
        <v>4</v>
      </c>
      <c r="H84" s="1000"/>
      <c r="I84" s="1000"/>
      <c r="J84" s="1001"/>
      <c r="K84" s="1002"/>
      <c r="L84" s="1003"/>
      <c r="M84" s="1010"/>
      <c r="N84" s="1005"/>
      <c r="O84" s="1000">
        <v>3</v>
      </c>
      <c r="P84" s="1001"/>
      <c r="Q84" s="1002"/>
      <c r="R84" s="1006"/>
      <c r="S84" s="1001"/>
      <c r="T84" s="1007"/>
      <c r="U84" s="1001"/>
      <c r="V84" s="1000">
        <v>2</v>
      </c>
      <c r="W84" s="1000"/>
      <c r="X84" s="1008"/>
      <c r="Y84" s="1104">
        <v>29</v>
      </c>
      <c r="Z84" s="776">
        <v>7.9610000000000003</v>
      </c>
    </row>
    <row r="85" spans="2:26" s="90" customFormat="1" x14ac:dyDescent="0.2">
      <c r="B85" s="999">
        <f t="shared" si="1"/>
        <v>73</v>
      </c>
      <c r="C85" s="135" t="s">
        <v>81</v>
      </c>
      <c r="D85" s="989">
        <f>F85+G85+I85+O85</f>
        <v>2</v>
      </c>
      <c r="E85" s="1000">
        <v>2.5</v>
      </c>
      <c r="F85" s="1000">
        <v>2</v>
      </c>
      <c r="G85" s="1000"/>
      <c r="H85" s="1000"/>
      <c r="I85" s="1000"/>
      <c r="J85" s="1001"/>
      <c r="K85" s="1002"/>
      <c r="L85" s="1003"/>
      <c r="M85" s="1004"/>
      <c r="N85" s="1005"/>
      <c r="O85" s="1000"/>
      <c r="P85" s="1001"/>
      <c r="Q85" s="1002"/>
      <c r="R85" s="1006"/>
      <c r="S85" s="1001"/>
      <c r="T85" s="1007">
        <v>1</v>
      </c>
      <c r="U85" s="1001"/>
      <c r="V85" s="1000">
        <v>3</v>
      </c>
      <c r="W85" s="1000">
        <v>1</v>
      </c>
      <c r="X85" s="1008"/>
      <c r="Y85" s="1104">
        <v>3</v>
      </c>
      <c r="Z85" s="776">
        <v>1.6719999999999999</v>
      </c>
    </row>
    <row r="86" spans="2:26" s="90" customFormat="1" x14ac:dyDescent="0.2">
      <c r="B86" s="999">
        <f t="shared" si="1"/>
        <v>74</v>
      </c>
      <c r="C86" s="135" t="s">
        <v>243</v>
      </c>
      <c r="D86" s="989">
        <f>F86+G86+I86+O86</f>
        <v>4</v>
      </c>
      <c r="E86" s="1000">
        <v>2</v>
      </c>
      <c r="F86" s="1000">
        <v>2</v>
      </c>
      <c r="G86" s="1000"/>
      <c r="H86" s="1000"/>
      <c r="I86" s="1000">
        <v>2</v>
      </c>
      <c r="J86" s="1001">
        <v>1.5</v>
      </c>
      <c r="K86" s="1002"/>
      <c r="L86" s="1003"/>
      <c r="M86" s="1004"/>
      <c r="N86" s="1005"/>
      <c r="O86" s="1000"/>
      <c r="P86" s="1001"/>
      <c r="Q86" s="1002"/>
      <c r="R86" s="1006"/>
      <c r="S86" s="1001"/>
      <c r="T86" s="1007"/>
      <c r="U86" s="1001"/>
      <c r="V86" s="1000"/>
      <c r="W86" s="1000"/>
      <c r="X86" s="1008"/>
      <c r="Y86" s="1104">
        <v>2</v>
      </c>
      <c r="Z86" s="776">
        <v>1.1140000000000001</v>
      </c>
    </row>
    <row r="87" spans="2:26" s="90" customFormat="1" x14ac:dyDescent="0.2">
      <c r="B87" s="999">
        <f t="shared" si="1"/>
        <v>75</v>
      </c>
      <c r="C87" s="135" t="s">
        <v>82</v>
      </c>
      <c r="D87" s="989">
        <f>F87+G87+I87+O87</f>
        <v>37</v>
      </c>
      <c r="E87" s="1000"/>
      <c r="F87" s="1000"/>
      <c r="G87" s="1004">
        <v>28</v>
      </c>
      <c r="H87" s="1004"/>
      <c r="I87" s="1000">
        <v>3</v>
      </c>
      <c r="J87" s="1013">
        <v>2</v>
      </c>
      <c r="K87" s="1014" t="s">
        <v>378</v>
      </c>
      <c r="L87" s="1015"/>
      <c r="M87" s="1010"/>
      <c r="N87" s="1016"/>
      <c r="O87" s="1000">
        <v>6</v>
      </c>
      <c r="P87" s="1001"/>
      <c r="Q87" s="1002"/>
      <c r="R87" s="1006"/>
      <c r="S87" s="1001"/>
      <c r="T87" s="1007">
        <v>3</v>
      </c>
      <c r="U87" s="1001"/>
      <c r="V87" s="1000"/>
      <c r="W87" s="1000"/>
      <c r="X87" s="1008" t="s">
        <v>379</v>
      </c>
      <c r="Y87" s="1104">
        <v>22</v>
      </c>
      <c r="Z87" s="776">
        <v>9.0839999999999996</v>
      </c>
    </row>
    <row r="88" spans="2:26" s="90" customFormat="1" x14ac:dyDescent="0.2">
      <c r="B88" s="999">
        <f t="shared" si="1"/>
        <v>76</v>
      </c>
      <c r="C88" s="135" t="s">
        <v>293</v>
      </c>
      <c r="D88" s="989">
        <f>F88+G88+I88+O88</f>
        <v>2</v>
      </c>
      <c r="E88" s="1000"/>
      <c r="F88" s="1000"/>
      <c r="G88" s="1000"/>
      <c r="H88" s="1000"/>
      <c r="I88" s="1000"/>
      <c r="J88" s="1001"/>
      <c r="K88" s="1002"/>
      <c r="L88" s="1003"/>
      <c r="M88" s="1010"/>
      <c r="N88" s="1005"/>
      <c r="O88" s="1000">
        <v>2</v>
      </c>
      <c r="P88" s="1001"/>
      <c r="Q88" s="1002"/>
      <c r="R88" s="1006"/>
      <c r="S88" s="1001"/>
      <c r="T88" s="1007"/>
      <c r="U88" s="1001">
        <v>8</v>
      </c>
      <c r="V88" s="1000"/>
      <c r="W88" s="1000"/>
      <c r="X88" s="1008"/>
      <c r="Y88" s="1104">
        <v>26</v>
      </c>
      <c r="Z88" s="776">
        <v>16.101299999999998</v>
      </c>
    </row>
    <row r="89" spans="2:26" s="90" customFormat="1" x14ac:dyDescent="0.2">
      <c r="B89" s="999">
        <f t="shared" si="1"/>
        <v>77</v>
      </c>
      <c r="C89" s="135" t="s">
        <v>123</v>
      </c>
      <c r="D89" s="989">
        <f>F89+G89+I89+O89</f>
        <v>10</v>
      </c>
      <c r="E89" s="1000"/>
      <c r="F89" s="1000">
        <v>6</v>
      </c>
      <c r="G89" s="1000"/>
      <c r="H89" s="1000"/>
      <c r="I89" s="1000"/>
      <c r="J89" s="1001"/>
      <c r="K89" s="1002"/>
      <c r="L89" s="1003"/>
      <c r="M89" s="1004"/>
      <c r="N89" s="1005"/>
      <c r="O89" s="1000">
        <v>4</v>
      </c>
      <c r="P89" s="1001"/>
      <c r="Q89" s="1002"/>
      <c r="R89" s="1006"/>
      <c r="S89" s="1001"/>
      <c r="T89" s="1007"/>
      <c r="U89" s="1001"/>
      <c r="V89" s="1000"/>
      <c r="W89" s="1000"/>
      <c r="X89" s="1008"/>
      <c r="Y89" s="1012">
        <v>26</v>
      </c>
      <c r="Z89" s="790">
        <v>30.282</v>
      </c>
    </row>
    <row r="90" spans="2:26" s="90" customFormat="1" x14ac:dyDescent="0.2">
      <c r="B90" s="999">
        <f t="shared" si="1"/>
        <v>78</v>
      </c>
      <c r="C90" s="135" t="s">
        <v>294</v>
      </c>
      <c r="D90" s="989">
        <f>F90+G90+I90+O90</f>
        <v>13</v>
      </c>
      <c r="E90" s="1000">
        <v>2</v>
      </c>
      <c r="F90" s="1000">
        <v>4</v>
      </c>
      <c r="G90" s="1000">
        <v>9</v>
      </c>
      <c r="H90" s="1000" t="s">
        <v>356</v>
      </c>
      <c r="I90" s="1000"/>
      <c r="J90" s="1001"/>
      <c r="K90" s="1002"/>
      <c r="L90" s="1003"/>
      <c r="M90" s="1010"/>
      <c r="N90" s="1005"/>
      <c r="O90" s="1000"/>
      <c r="P90" s="1001"/>
      <c r="Q90" s="1002"/>
      <c r="R90" s="1006"/>
      <c r="S90" s="1001"/>
      <c r="T90" s="1007"/>
      <c r="U90" s="1001"/>
      <c r="V90" s="1000"/>
      <c r="W90" s="1000"/>
      <c r="X90" s="1008"/>
      <c r="Y90" s="1104">
        <v>4</v>
      </c>
      <c r="Z90" s="776">
        <v>5.2960000000000003</v>
      </c>
    </row>
    <row r="91" spans="2:26" s="90" customFormat="1" x14ac:dyDescent="0.2">
      <c r="B91" s="999">
        <f t="shared" si="1"/>
        <v>79</v>
      </c>
      <c r="C91" s="135" t="s">
        <v>127</v>
      </c>
      <c r="D91" s="989">
        <f>F91+G91+I91+O91</f>
        <v>2</v>
      </c>
      <c r="E91" s="1000"/>
      <c r="F91" s="1000"/>
      <c r="G91" s="1000"/>
      <c r="H91" s="1000"/>
      <c r="I91" s="1000"/>
      <c r="J91" s="1001"/>
      <c r="K91" s="1002"/>
      <c r="L91" s="1003"/>
      <c r="M91" s="1010"/>
      <c r="N91" s="1005"/>
      <c r="O91" s="1000">
        <v>2</v>
      </c>
      <c r="P91" s="1001"/>
      <c r="Q91" s="1002"/>
      <c r="R91" s="1006"/>
      <c r="S91" s="1001"/>
      <c r="T91" s="1007"/>
      <c r="U91" s="1001"/>
      <c r="V91" s="1000"/>
      <c r="W91" s="1000"/>
      <c r="X91" s="1008"/>
      <c r="Y91" s="1104">
        <v>24</v>
      </c>
      <c r="Z91" s="776">
        <v>9.3474000000000004</v>
      </c>
    </row>
    <row r="92" spans="2:26" s="90" customFormat="1" x14ac:dyDescent="0.2">
      <c r="B92" s="999">
        <f t="shared" si="1"/>
        <v>80</v>
      </c>
      <c r="C92" s="135" t="s">
        <v>191</v>
      </c>
      <c r="D92" s="989">
        <f>F92+G92+I92+O92</f>
        <v>5</v>
      </c>
      <c r="E92" s="1000"/>
      <c r="F92" s="1000"/>
      <c r="G92" s="1000"/>
      <c r="H92" s="1000"/>
      <c r="I92" s="1000"/>
      <c r="J92" s="1001"/>
      <c r="K92" s="1002"/>
      <c r="L92" s="1003"/>
      <c r="M92" s="1010"/>
      <c r="N92" s="1005"/>
      <c r="O92" s="1000">
        <v>5</v>
      </c>
      <c r="P92" s="1001"/>
      <c r="Q92" s="1002"/>
      <c r="R92" s="1006"/>
      <c r="S92" s="1001"/>
      <c r="T92" s="1007"/>
      <c r="U92" s="1001"/>
      <c r="V92" s="1000"/>
      <c r="W92" s="1000"/>
      <c r="X92" s="1008"/>
      <c r="Y92" s="1104">
        <v>8</v>
      </c>
      <c r="Z92" s="776">
        <v>4.8319999999999999</v>
      </c>
    </row>
    <row r="93" spans="2:26" s="90" customFormat="1" x14ac:dyDescent="0.2">
      <c r="B93" s="999">
        <f t="shared" si="1"/>
        <v>81</v>
      </c>
      <c r="C93" s="135" t="s">
        <v>84</v>
      </c>
      <c r="D93" s="989">
        <f>F93+G93+I93+O93</f>
        <v>10</v>
      </c>
      <c r="E93" s="1000"/>
      <c r="F93" s="1000"/>
      <c r="G93" s="1000"/>
      <c r="H93" s="1000"/>
      <c r="I93" s="1000"/>
      <c r="J93" s="1001"/>
      <c r="K93" s="1002"/>
      <c r="L93" s="1003"/>
      <c r="M93" s="1010"/>
      <c r="N93" s="1005"/>
      <c r="O93" s="1000">
        <v>10</v>
      </c>
      <c r="P93" s="1001"/>
      <c r="Q93" s="1002" t="s">
        <v>376</v>
      </c>
      <c r="R93" s="1006"/>
      <c r="S93" s="1001"/>
      <c r="T93" s="1007"/>
      <c r="U93" s="1001"/>
      <c r="V93" s="1000"/>
      <c r="W93" s="1000"/>
      <c r="X93" s="1008"/>
      <c r="Y93" s="1104">
        <v>20</v>
      </c>
      <c r="Z93" s="776">
        <v>9.7586999999999993</v>
      </c>
    </row>
    <row r="94" spans="2:26" s="90" customFormat="1" x14ac:dyDescent="0.2">
      <c r="B94" s="999">
        <f t="shared" si="1"/>
        <v>82</v>
      </c>
      <c r="C94" s="135" t="s">
        <v>244</v>
      </c>
      <c r="D94" s="989">
        <f>F94+G94+I94+O94</f>
        <v>3</v>
      </c>
      <c r="E94" s="1000"/>
      <c r="F94" s="1000"/>
      <c r="G94" s="1000">
        <v>2</v>
      </c>
      <c r="H94" s="1000" t="s">
        <v>357</v>
      </c>
      <c r="I94" s="1000">
        <v>1</v>
      </c>
      <c r="J94" s="1001"/>
      <c r="K94" s="1002"/>
      <c r="L94" s="1003"/>
      <c r="M94" s="1010"/>
      <c r="N94" s="1005"/>
      <c r="O94" s="1000"/>
      <c r="P94" s="1001"/>
      <c r="Q94" s="1002"/>
      <c r="R94" s="1006"/>
      <c r="S94" s="1001"/>
      <c r="T94" s="1007"/>
      <c r="U94" s="1001"/>
      <c r="V94" s="1000"/>
      <c r="W94" s="1000"/>
      <c r="X94" s="1008"/>
      <c r="Y94" s="1104">
        <v>6</v>
      </c>
      <c r="Z94" s="776">
        <v>11.239000000000001</v>
      </c>
    </row>
    <row r="95" spans="2:26" s="90" customFormat="1" x14ac:dyDescent="0.2">
      <c r="B95" s="999">
        <f t="shared" si="1"/>
        <v>83</v>
      </c>
      <c r="C95" s="135" t="s">
        <v>128</v>
      </c>
      <c r="D95" s="989">
        <f>F95+G95+I95+O95</f>
        <v>13</v>
      </c>
      <c r="E95" s="1000">
        <v>5</v>
      </c>
      <c r="F95" s="1000">
        <v>3</v>
      </c>
      <c r="G95" s="1000">
        <v>5</v>
      </c>
      <c r="H95" s="1000"/>
      <c r="I95" s="1000"/>
      <c r="J95" s="1001"/>
      <c r="K95" s="1002"/>
      <c r="L95" s="1003"/>
      <c r="M95" s="1004"/>
      <c r="N95" s="1005"/>
      <c r="O95" s="1000">
        <v>5</v>
      </c>
      <c r="P95" s="1001"/>
      <c r="Q95" s="1002"/>
      <c r="R95" s="1006"/>
      <c r="S95" s="1001"/>
      <c r="T95" s="1007"/>
      <c r="U95" s="1001"/>
      <c r="V95" s="1000"/>
      <c r="W95" s="1000"/>
      <c r="X95" s="1008"/>
      <c r="Y95" s="1104">
        <v>20</v>
      </c>
      <c r="Z95" s="776">
        <v>12.894</v>
      </c>
    </row>
    <row r="96" spans="2:26" s="90" customFormat="1" x14ac:dyDescent="0.2">
      <c r="B96" s="999">
        <f t="shared" si="1"/>
        <v>84</v>
      </c>
      <c r="C96" s="135" t="s">
        <v>129</v>
      </c>
      <c r="D96" s="989">
        <f>F96+G96+I96+O96</f>
        <v>26</v>
      </c>
      <c r="E96" s="1000">
        <v>9</v>
      </c>
      <c r="F96" s="1000">
        <v>18</v>
      </c>
      <c r="G96" s="1000"/>
      <c r="H96" s="1000"/>
      <c r="I96" s="1000"/>
      <c r="J96" s="1001"/>
      <c r="K96" s="1002"/>
      <c r="L96" s="1003"/>
      <c r="M96" s="1010"/>
      <c r="N96" s="1005"/>
      <c r="O96" s="1000">
        <v>8</v>
      </c>
      <c r="P96" s="1001"/>
      <c r="Q96" s="1002"/>
      <c r="R96" s="1006"/>
      <c r="S96" s="1001"/>
      <c r="T96" s="1007"/>
      <c r="U96" s="1001">
        <v>20</v>
      </c>
      <c r="V96" s="1000"/>
      <c r="W96" s="1000"/>
      <c r="X96" s="1008"/>
      <c r="Y96" s="1104">
        <v>51</v>
      </c>
      <c r="Z96" s="776">
        <v>19.620999999999999</v>
      </c>
    </row>
    <row r="97" spans="2:26" s="90" customFormat="1" x14ac:dyDescent="0.2">
      <c r="B97" s="999">
        <f t="shared" si="1"/>
        <v>85</v>
      </c>
      <c r="C97" s="135" t="s">
        <v>131</v>
      </c>
      <c r="D97" s="989">
        <f>F97+G97+I97+O97</f>
        <v>15</v>
      </c>
      <c r="E97" s="1000">
        <v>7</v>
      </c>
      <c r="F97" s="1000">
        <v>15</v>
      </c>
      <c r="G97" s="1000"/>
      <c r="H97" s="1000"/>
      <c r="I97" s="1000"/>
      <c r="J97" s="1001"/>
      <c r="K97" s="1002"/>
      <c r="L97" s="1003"/>
      <c r="M97" s="1004"/>
      <c r="N97" s="1005"/>
      <c r="O97" s="1000"/>
      <c r="P97" s="1001"/>
      <c r="Q97" s="1002"/>
      <c r="R97" s="1006"/>
      <c r="S97" s="1001"/>
      <c r="T97" s="1007"/>
      <c r="U97" s="1001">
        <v>20</v>
      </c>
      <c r="V97" s="1000"/>
      <c r="W97" s="1000"/>
      <c r="X97" s="1008"/>
      <c r="Y97" s="1012">
        <v>160</v>
      </c>
      <c r="Z97" s="790">
        <v>68.156300000000002</v>
      </c>
    </row>
    <row r="98" spans="2:26" s="90" customFormat="1" x14ac:dyDescent="0.2">
      <c r="B98" s="999">
        <f t="shared" si="1"/>
        <v>86</v>
      </c>
      <c r="C98" s="135" t="s">
        <v>177</v>
      </c>
      <c r="D98" s="989">
        <f>F98+G98+I98+O98</f>
        <v>18</v>
      </c>
      <c r="E98" s="1000">
        <v>8</v>
      </c>
      <c r="F98" s="1000">
        <v>18</v>
      </c>
      <c r="G98" s="1000"/>
      <c r="H98" s="1000"/>
      <c r="I98" s="1000"/>
      <c r="J98" s="1001"/>
      <c r="K98" s="1002"/>
      <c r="L98" s="1003"/>
      <c r="M98" s="1004"/>
      <c r="N98" s="1005"/>
      <c r="O98" s="1000"/>
      <c r="P98" s="1001"/>
      <c r="Q98" s="1002"/>
      <c r="R98" s="1006"/>
      <c r="S98" s="1001"/>
      <c r="T98" s="1007"/>
      <c r="U98" s="1001">
        <v>30</v>
      </c>
      <c r="V98" s="1000"/>
      <c r="W98" s="1000"/>
      <c r="X98" s="1008"/>
      <c r="Y98" s="1104">
        <v>83</v>
      </c>
      <c r="Z98" s="776">
        <v>45.524999999999999</v>
      </c>
    </row>
    <row r="99" spans="2:26" s="90" customFormat="1" x14ac:dyDescent="0.2">
      <c r="B99" s="999">
        <f t="shared" si="1"/>
        <v>87</v>
      </c>
      <c r="C99" s="135" t="s">
        <v>245</v>
      </c>
      <c r="D99" s="989">
        <f>F99+G99+I99+O99</f>
        <v>2</v>
      </c>
      <c r="E99" s="1000"/>
      <c r="F99" s="1000"/>
      <c r="G99" s="1000">
        <v>2</v>
      </c>
      <c r="H99" s="1000" t="s">
        <v>357</v>
      </c>
      <c r="I99" s="1000"/>
      <c r="J99" s="1001"/>
      <c r="K99" s="1002"/>
      <c r="L99" s="1003"/>
      <c r="M99" s="1010"/>
      <c r="N99" s="1005"/>
      <c r="O99" s="1000"/>
      <c r="P99" s="1001"/>
      <c r="Q99" s="1002"/>
      <c r="R99" s="1006"/>
      <c r="S99" s="1001"/>
      <c r="T99" s="1007"/>
      <c r="U99" s="1001"/>
      <c r="V99" s="1000"/>
      <c r="W99" s="1000"/>
      <c r="X99" s="1008"/>
      <c r="Y99" s="1104">
        <v>2</v>
      </c>
      <c r="Z99" s="776">
        <v>0.878</v>
      </c>
    </row>
    <row r="100" spans="2:26" s="90" customFormat="1" x14ac:dyDescent="0.2">
      <c r="B100" s="999">
        <f t="shared" si="1"/>
        <v>88</v>
      </c>
      <c r="C100" s="135" t="s">
        <v>295</v>
      </c>
      <c r="D100" s="989">
        <f>F100+G100+I100+O100</f>
        <v>3</v>
      </c>
      <c r="E100" s="1000">
        <v>1.5</v>
      </c>
      <c r="F100" s="1000">
        <v>3</v>
      </c>
      <c r="G100" s="1000"/>
      <c r="H100" s="1000"/>
      <c r="I100" s="1000"/>
      <c r="J100" s="1001"/>
      <c r="K100" s="1002"/>
      <c r="L100" s="1003"/>
      <c r="M100" s="1004"/>
      <c r="N100" s="1005"/>
      <c r="O100" s="1000"/>
      <c r="P100" s="1001"/>
      <c r="Q100" s="1002"/>
      <c r="R100" s="1006"/>
      <c r="S100" s="1001"/>
      <c r="T100" s="1007"/>
      <c r="U100" s="1001"/>
      <c r="V100" s="1000"/>
      <c r="W100" s="1000">
        <v>1</v>
      </c>
      <c r="X100" s="1008"/>
      <c r="Y100" s="1104">
        <v>9</v>
      </c>
      <c r="Z100" s="776">
        <v>4.9669999999999996</v>
      </c>
    </row>
    <row r="101" spans="2:26" s="90" customFormat="1" x14ac:dyDescent="0.2">
      <c r="B101" s="999">
        <f t="shared" si="1"/>
        <v>89</v>
      </c>
      <c r="C101" s="1009" t="s">
        <v>248</v>
      </c>
      <c r="D101" s="989">
        <f>F101+G101+I101+O101</f>
        <v>9</v>
      </c>
      <c r="E101" s="1000">
        <v>5</v>
      </c>
      <c r="F101" s="1000">
        <v>4</v>
      </c>
      <c r="G101" s="1000">
        <v>5</v>
      </c>
      <c r="H101" s="1000"/>
      <c r="I101" s="1000"/>
      <c r="J101" s="1001"/>
      <c r="K101" s="1002"/>
      <c r="L101" s="1003"/>
      <c r="M101" s="1010"/>
      <c r="N101" s="1005"/>
      <c r="O101" s="1000"/>
      <c r="P101" s="1001"/>
      <c r="Q101" s="1002"/>
      <c r="R101" s="1006"/>
      <c r="S101" s="1001"/>
      <c r="T101" s="1007"/>
      <c r="U101" s="1001"/>
      <c r="V101" s="1000">
        <v>5</v>
      </c>
      <c r="W101" s="1000"/>
      <c r="X101" s="1008"/>
      <c r="Y101" s="1104">
        <v>32</v>
      </c>
      <c r="Z101" s="776">
        <v>3.5796999999999999</v>
      </c>
    </row>
    <row r="102" spans="2:26" s="90" customFormat="1" x14ac:dyDescent="0.2">
      <c r="B102" s="999">
        <f t="shared" si="1"/>
        <v>90</v>
      </c>
      <c r="C102" s="135" t="s">
        <v>340</v>
      </c>
      <c r="D102" s="989">
        <f>F102+G102+I102+O102</f>
        <v>10</v>
      </c>
      <c r="E102" s="1000">
        <v>2</v>
      </c>
      <c r="F102" s="1000">
        <v>4</v>
      </c>
      <c r="G102" s="1000"/>
      <c r="H102" s="1000"/>
      <c r="I102" s="1000"/>
      <c r="J102" s="1001"/>
      <c r="K102" s="1002"/>
      <c r="L102" s="1003"/>
      <c r="M102" s="1004"/>
      <c r="N102" s="1005"/>
      <c r="O102" s="1000">
        <v>6</v>
      </c>
      <c r="P102" s="1001"/>
      <c r="Q102" s="1002"/>
      <c r="R102" s="1006"/>
      <c r="S102" s="1001"/>
      <c r="T102" s="1007"/>
      <c r="U102" s="1001"/>
      <c r="V102" s="1000"/>
      <c r="W102" s="1000"/>
      <c r="X102" s="1008"/>
      <c r="Y102" s="1104">
        <v>20</v>
      </c>
      <c r="Z102" s="776">
        <v>6.9248000000000003</v>
      </c>
    </row>
    <row r="103" spans="2:26" s="90" customFormat="1" x14ac:dyDescent="0.2">
      <c r="B103" s="999">
        <f t="shared" si="1"/>
        <v>91</v>
      </c>
      <c r="C103" s="1009" t="s">
        <v>91</v>
      </c>
      <c r="D103" s="989">
        <f>F103+G103+I103+O103</f>
        <v>8</v>
      </c>
      <c r="E103" s="1000">
        <v>5</v>
      </c>
      <c r="F103" s="1000">
        <v>6</v>
      </c>
      <c r="G103" s="1000"/>
      <c r="H103" s="1000"/>
      <c r="I103" s="1000"/>
      <c r="J103" s="1001"/>
      <c r="K103" s="1002"/>
      <c r="L103" s="1003"/>
      <c r="M103" s="1004"/>
      <c r="N103" s="1005"/>
      <c r="O103" s="1000">
        <v>2</v>
      </c>
      <c r="P103" s="1001"/>
      <c r="Q103" s="1002"/>
      <c r="R103" s="1006"/>
      <c r="S103" s="1001"/>
      <c r="T103" s="1007"/>
      <c r="U103" s="1001"/>
      <c r="V103" s="1000"/>
      <c r="W103" s="1000"/>
      <c r="X103" s="1008"/>
      <c r="Y103" s="1104">
        <v>11</v>
      </c>
      <c r="Z103" s="776">
        <v>1.7336</v>
      </c>
    </row>
    <row r="104" spans="2:26" s="90" customFormat="1" x14ac:dyDescent="0.2">
      <c r="B104" s="999">
        <f t="shared" si="1"/>
        <v>92</v>
      </c>
      <c r="C104" s="1009" t="s">
        <v>252</v>
      </c>
      <c r="D104" s="989">
        <f>F104+G104+I104+O104</f>
        <v>7</v>
      </c>
      <c r="E104" s="1000">
        <v>4</v>
      </c>
      <c r="F104" s="1000">
        <v>5</v>
      </c>
      <c r="G104" s="1000"/>
      <c r="H104" s="1000"/>
      <c r="I104" s="1000"/>
      <c r="J104" s="1001"/>
      <c r="K104" s="1002"/>
      <c r="L104" s="1003"/>
      <c r="M104" s="1010"/>
      <c r="N104" s="1005"/>
      <c r="O104" s="1000">
        <v>2</v>
      </c>
      <c r="P104" s="1001"/>
      <c r="Q104" s="1002"/>
      <c r="R104" s="1006"/>
      <c r="S104" s="1001"/>
      <c r="T104" s="1007"/>
      <c r="U104" s="1001"/>
      <c r="V104" s="1000"/>
      <c r="W104" s="1000"/>
      <c r="X104" s="1008"/>
      <c r="Y104" s="1104">
        <v>6</v>
      </c>
      <c r="Z104" s="776">
        <v>0.90759999999999996</v>
      </c>
    </row>
    <row r="105" spans="2:26" s="90" customFormat="1" x14ac:dyDescent="0.2">
      <c r="B105" s="999">
        <f t="shared" si="1"/>
        <v>93</v>
      </c>
      <c r="C105" s="1009" t="s">
        <v>86</v>
      </c>
      <c r="D105" s="989">
        <f>F105+G105+I105+O105</f>
        <v>8</v>
      </c>
      <c r="E105" s="1000">
        <v>5</v>
      </c>
      <c r="F105" s="1000">
        <v>6</v>
      </c>
      <c r="G105" s="1000"/>
      <c r="H105" s="1000"/>
      <c r="I105" s="1000"/>
      <c r="J105" s="1001"/>
      <c r="K105" s="1002"/>
      <c r="L105" s="1003"/>
      <c r="M105" s="1004"/>
      <c r="N105" s="1005"/>
      <c r="O105" s="1000">
        <v>2</v>
      </c>
      <c r="P105" s="1001"/>
      <c r="Q105" s="1002"/>
      <c r="R105" s="1006"/>
      <c r="S105" s="1001"/>
      <c r="T105" s="1007"/>
      <c r="U105" s="1001"/>
      <c r="V105" s="1000"/>
      <c r="W105" s="1000"/>
      <c r="X105" s="1008"/>
      <c r="Y105" s="1104">
        <v>8</v>
      </c>
      <c r="Z105" s="776">
        <v>15.218999999999999</v>
      </c>
    </row>
    <row r="106" spans="2:26" s="90" customFormat="1" x14ac:dyDescent="0.2">
      <c r="B106" s="999">
        <f t="shared" si="1"/>
        <v>94</v>
      </c>
      <c r="C106" s="1009" t="s">
        <v>88</v>
      </c>
      <c r="D106" s="989">
        <f>F106+G106+I106+O106</f>
        <v>8</v>
      </c>
      <c r="E106" s="1000">
        <v>5</v>
      </c>
      <c r="F106" s="1000">
        <v>6</v>
      </c>
      <c r="G106" s="1000"/>
      <c r="H106" s="1000"/>
      <c r="I106" s="1000"/>
      <c r="J106" s="1001"/>
      <c r="K106" s="1002"/>
      <c r="L106" s="1003"/>
      <c r="M106" s="1004"/>
      <c r="N106" s="1005"/>
      <c r="O106" s="1000">
        <v>2</v>
      </c>
      <c r="P106" s="1001"/>
      <c r="Q106" s="1002"/>
      <c r="R106" s="1006"/>
      <c r="S106" s="1001"/>
      <c r="T106" s="1007"/>
      <c r="U106" s="1001"/>
      <c r="V106" s="1000"/>
      <c r="W106" s="1000">
        <v>1</v>
      </c>
      <c r="X106" s="1008"/>
      <c r="Y106" s="1104">
        <v>9</v>
      </c>
      <c r="Z106" s="776">
        <f>3.765+0.1908+0.421</f>
        <v>4.3768000000000002</v>
      </c>
    </row>
    <row r="107" spans="2:26" s="90" customFormat="1" x14ac:dyDescent="0.2">
      <c r="B107" s="999">
        <f t="shared" si="1"/>
        <v>95</v>
      </c>
      <c r="C107" s="1009" t="s">
        <v>89</v>
      </c>
      <c r="D107" s="989">
        <f>F107+G107+I107+O107</f>
        <v>3</v>
      </c>
      <c r="E107" s="1000">
        <v>4</v>
      </c>
      <c r="F107" s="1000">
        <v>3</v>
      </c>
      <c r="G107" s="1000"/>
      <c r="H107" s="1000"/>
      <c r="I107" s="1000"/>
      <c r="J107" s="1001"/>
      <c r="K107" s="1002"/>
      <c r="L107" s="1003"/>
      <c r="M107" s="1004"/>
      <c r="N107" s="1005"/>
      <c r="O107" s="1000"/>
      <c r="P107" s="1001"/>
      <c r="Q107" s="1002"/>
      <c r="R107" s="1006"/>
      <c r="S107" s="1001"/>
      <c r="T107" s="1007"/>
      <c r="U107" s="1001"/>
      <c r="V107" s="1000"/>
      <c r="W107" s="1000"/>
      <c r="X107" s="1008"/>
      <c r="Y107" s="1104">
        <v>18</v>
      </c>
      <c r="Z107" s="776">
        <v>18.882000000000001</v>
      </c>
    </row>
    <row r="108" spans="2:26" s="90" customFormat="1" x14ac:dyDescent="0.2">
      <c r="B108" s="999">
        <f t="shared" si="1"/>
        <v>96</v>
      </c>
      <c r="C108" s="1009" t="s">
        <v>180</v>
      </c>
      <c r="D108" s="989">
        <f>F108+G108+I108+O108</f>
        <v>12</v>
      </c>
      <c r="E108" s="1000">
        <v>8</v>
      </c>
      <c r="F108" s="1000">
        <v>12</v>
      </c>
      <c r="G108" s="1000"/>
      <c r="H108" s="1000"/>
      <c r="I108" s="1000"/>
      <c r="J108" s="1001"/>
      <c r="K108" s="1002"/>
      <c r="L108" s="1003"/>
      <c r="M108" s="1010"/>
      <c r="N108" s="1005"/>
      <c r="O108" s="1000"/>
      <c r="P108" s="1001"/>
      <c r="Q108" s="1002"/>
      <c r="R108" s="1006"/>
      <c r="S108" s="1001"/>
      <c r="T108" s="1007"/>
      <c r="U108" s="1001"/>
      <c r="V108" s="1000">
        <v>2</v>
      </c>
      <c r="W108" s="1000"/>
      <c r="X108" s="1008"/>
      <c r="Y108" s="1104">
        <v>22</v>
      </c>
      <c r="Z108" s="776">
        <f>1.2358+4.414+1.114</f>
        <v>6.7637999999999998</v>
      </c>
    </row>
    <row r="109" spans="2:26" s="90" customFormat="1" x14ac:dyDescent="0.2">
      <c r="B109" s="999">
        <f t="shared" si="1"/>
        <v>97</v>
      </c>
      <c r="C109" s="1017" t="s">
        <v>181</v>
      </c>
      <c r="D109" s="1018">
        <f>F109+G109+I109+O109</f>
        <v>8</v>
      </c>
      <c r="E109" s="1019">
        <v>5</v>
      </c>
      <c r="F109" s="1019">
        <v>8</v>
      </c>
      <c r="G109" s="1019"/>
      <c r="H109" s="1019"/>
      <c r="I109" s="1019"/>
      <c r="J109" s="1020"/>
      <c r="K109" s="1021"/>
      <c r="L109" s="1022"/>
      <c r="M109" s="1023"/>
      <c r="N109" s="1024"/>
      <c r="O109" s="1019"/>
      <c r="P109" s="1020"/>
      <c r="Q109" s="1021"/>
      <c r="R109" s="1025"/>
      <c r="S109" s="1020"/>
      <c r="T109" s="1026"/>
      <c r="U109" s="1020"/>
      <c r="V109" s="1019"/>
      <c r="W109" s="1019"/>
      <c r="X109" s="1027"/>
      <c r="Y109" s="1105">
        <v>5</v>
      </c>
      <c r="Z109" s="784">
        <v>3.3771</v>
      </c>
    </row>
    <row r="110" spans="2:26" s="231" customFormat="1" x14ac:dyDescent="0.2">
      <c r="B110" s="999">
        <f t="shared" si="1"/>
        <v>98</v>
      </c>
      <c r="C110" s="135" t="s">
        <v>193</v>
      </c>
      <c r="D110" s="1028">
        <f>F110+G110+I110+O110</f>
        <v>4</v>
      </c>
      <c r="E110" s="1000"/>
      <c r="F110" s="1000">
        <v>4</v>
      </c>
      <c r="G110" s="1000"/>
      <c r="H110" s="1000"/>
      <c r="I110" s="1000"/>
      <c r="J110" s="1000"/>
      <c r="K110" s="1000"/>
      <c r="L110" s="1004"/>
      <c r="M110" s="1004"/>
      <c r="N110" s="1004"/>
      <c r="O110" s="1000"/>
      <c r="P110" s="1000"/>
      <c r="Q110" s="1000"/>
      <c r="R110" s="1000"/>
      <c r="S110" s="1001"/>
      <c r="T110" s="1007"/>
      <c r="U110" s="1001">
        <v>6</v>
      </c>
      <c r="V110" s="1000"/>
      <c r="W110" s="1000"/>
      <c r="X110" s="1008"/>
      <c r="Y110" s="1012">
        <v>31</v>
      </c>
      <c r="Z110" s="790">
        <v>7.4386999999999999</v>
      </c>
    </row>
    <row r="111" spans="2:26" s="90" customFormat="1" x14ac:dyDescent="0.2">
      <c r="B111" s="999">
        <f t="shared" si="1"/>
        <v>99</v>
      </c>
      <c r="C111" s="130" t="s">
        <v>133</v>
      </c>
      <c r="D111" s="989">
        <f>F111+G111+I111+O111</f>
        <v>30</v>
      </c>
      <c r="E111" s="990"/>
      <c r="F111" s="990">
        <v>6</v>
      </c>
      <c r="G111" s="990"/>
      <c r="H111" s="990"/>
      <c r="I111" s="990"/>
      <c r="J111" s="991"/>
      <c r="K111" s="992"/>
      <c r="L111" s="993"/>
      <c r="M111" s="994"/>
      <c r="N111" s="995"/>
      <c r="O111" s="990">
        <v>24</v>
      </c>
      <c r="P111" s="991"/>
      <c r="Q111" s="992"/>
      <c r="R111" s="996">
        <v>24</v>
      </c>
      <c r="S111" s="991"/>
      <c r="T111" s="997"/>
      <c r="U111" s="991">
        <v>10</v>
      </c>
      <c r="V111" s="990"/>
      <c r="W111" s="990"/>
      <c r="X111" s="998"/>
      <c r="Y111" s="1029">
        <v>69</v>
      </c>
      <c r="Z111" s="789">
        <v>46.752499999999998</v>
      </c>
    </row>
    <row r="112" spans="2:26" s="90" customFormat="1" x14ac:dyDescent="0.2">
      <c r="B112" s="999">
        <f t="shared" si="1"/>
        <v>100</v>
      </c>
      <c r="C112" s="141" t="s">
        <v>134</v>
      </c>
      <c r="D112" s="989">
        <f>F112+G112+I112+O112</f>
        <v>28</v>
      </c>
      <c r="E112" s="1000"/>
      <c r="F112" s="1000">
        <v>4</v>
      </c>
      <c r="G112" s="1000"/>
      <c r="H112" s="1000"/>
      <c r="I112" s="1000"/>
      <c r="J112" s="1001"/>
      <c r="K112" s="1002"/>
      <c r="L112" s="1003"/>
      <c r="M112" s="1004"/>
      <c r="N112" s="1005"/>
      <c r="O112" s="1000">
        <v>24</v>
      </c>
      <c r="P112" s="1001"/>
      <c r="Q112" s="1002"/>
      <c r="R112" s="1006">
        <v>24</v>
      </c>
      <c r="S112" s="1001"/>
      <c r="T112" s="1007"/>
      <c r="U112" s="1001">
        <v>5</v>
      </c>
      <c r="V112" s="1000"/>
      <c r="W112" s="1000"/>
      <c r="X112" s="1008"/>
      <c r="Y112" s="1012">
        <v>52</v>
      </c>
      <c r="Z112" s="790">
        <v>19.382100000000001</v>
      </c>
    </row>
    <row r="113" spans="2:26" s="90" customFormat="1" x14ac:dyDescent="0.2">
      <c r="B113" s="999">
        <f t="shared" si="1"/>
        <v>101</v>
      </c>
      <c r="C113" s="141" t="s">
        <v>261</v>
      </c>
      <c r="D113" s="989">
        <f>F113+G113+I113+O113</f>
        <v>36</v>
      </c>
      <c r="E113" s="1000"/>
      <c r="F113" s="1000">
        <v>6</v>
      </c>
      <c r="G113" s="1000"/>
      <c r="H113" s="1000"/>
      <c r="I113" s="1000"/>
      <c r="J113" s="1001"/>
      <c r="K113" s="1002"/>
      <c r="L113" s="1003"/>
      <c r="M113" s="1004"/>
      <c r="N113" s="1005"/>
      <c r="O113" s="1000">
        <v>30</v>
      </c>
      <c r="P113" s="1001"/>
      <c r="Q113" s="1002"/>
      <c r="R113" s="1006">
        <v>30</v>
      </c>
      <c r="S113" s="1001"/>
      <c r="T113" s="1007"/>
      <c r="U113" s="1001">
        <v>10</v>
      </c>
      <c r="V113" s="1000">
        <v>24</v>
      </c>
      <c r="W113" s="1000"/>
      <c r="X113" s="1008"/>
      <c r="Y113" s="1012">
        <v>37</v>
      </c>
      <c r="Z113" s="790">
        <v>18.651</v>
      </c>
    </row>
    <row r="114" spans="2:26" s="90" customFormat="1" x14ac:dyDescent="0.2">
      <c r="B114" s="999">
        <f t="shared" si="1"/>
        <v>102</v>
      </c>
      <c r="C114" s="141" t="s">
        <v>253</v>
      </c>
      <c r="D114" s="989">
        <f>F114+G114+I114+O114</f>
        <v>33</v>
      </c>
      <c r="E114" s="1000"/>
      <c r="F114" s="1000">
        <v>8</v>
      </c>
      <c r="G114" s="1000"/>
      <c r="H114" s="1000"/>
      <c r="I114" s="1000"/>
      <c r="J114" s="1001"/>
      <c r="K114" s="1002"/>
      <c r="L114" s="1003"/>
      <c r="M114" s="1004"/>
      <c r="N114" s="1005"/>
      <c r="O114" s="1000">
        <v>25</v>
      </c>
      <c r="P114" s="1001"/>
      <c r="Q114" s="1002"/>
      <c r="R114" s="1006">
        <v>15</v>
      </c>
      <c r="S114" s="1001"/>
      <c r="T114" s="1007">
        <v>10</v>
      </c>
      <c r="U114" s="1001">
        <v>7</v>
      </c>
      <c r="V114" s="1000"/>
      <c r="W114" s="1000"/>
      <c r="X114" s="1008" t="s">
        <v>380</v>
      </c>
      <c r="Y114" s="1012">
        <v>51</v>
      </c>
      <c r="Z114" s="790">
        <v>22.190999999999999</v>
      </c>
    </row>
    <row r="115" spans="2:26" s="90" customFormat="1" x14ac:dyDescent="0.2">
      <c r="B115" s="999">
        <f t="shared" si="1"/>
        <v>103</v>
      </c>
      <c r="C115" s="141" t="s">
        <v>334</v>
      </c>
      <c r="D115" s="989">
        <f>F115+G115+I115+O115</f>
        <v>12</v>
      </c>
      <c r="E115" s="1000"/>
      <c r="F115" s="1000"/>
      <c r="G115" s="1000">
        <v>12</v>
      </c>
      <c r="H115" s="1000" t="s">
        <v>369</v>
      </c>
      <c r="I115" s="1000"/>
      <c r="J115" s="1001"/>
      <c r="K115" s="1002" t="s">
        <v>381</v>
      </c>
      <c r="L115" s="1003"/>
      <c r="M115" s="1010"/>
      <c r="N115" s="1005"/>
      <c r="O115" s="1000"/>
      <c r="P115" s="1001"/>
      <c r="Q115" s="1002"/>
      <c r="R115" s="1006"/>
      <c r="S115" s="1001"/>
      <c r="T115" s="1007"/>
      <c r="U115" s="1001"/>
      <c r="V115" s="1000"/>
      <c r="W115" s="1000">
        <v>16</v>
      </c>
      <c r="X115" s="1008" t="s">
        <v>382</v>
      </c>
      <c r="Y115" s="1104">
        <v>6</v>
      </c>
      <c r="Z115" s="776">
        <v>3.9969999999999999</v>
      </c>
    </row>
    <row r="116" spans="2:26" s="90" customFormat="1" x14ac:dyDescent="0.2">
      <c r="B116" s="999">
        <f t="shared" si="1"/>
        <v>104</v>
      </c>
      <c r="C116" s="141" t="s">
        <v>383</v>
      </c>
      <c r="D116" s="989">
        <f>F116+G116+I116+O116</f>
        <v>15</v>
      </c>
      <c r="E116" s="1000">
        <v>12</v>
      </c>
      <c r="F116" s="1000">
        <v>15</v>
      </c>
      <c r="G116" s="1000"/>
      <c r="H116" s="1000"/>
      <c r="I116" s="1000"/>
      <c r="J116" s="1001"/>
      <c r="K116" s="1002"/>
      <c r="L116" s="1003"/>
      <c r="M116" s="1010"/>
      <c r="N116" s="1005"/>
      <c r="O116" s="1000"/>
      <c r="P116" s="1001"/>
      <c r="Q116" s="1002"/>
      <c r="R116" s="1006"/>
      <c r="S116" s="1001"/>
      <c r="T116" s="1007"/>
      <c r="U116" s="1001">
        <v>10</v>
      </c>
      <c r="V116" s="1000"/>
      <c r="W116" s="1000"/>
      <c r="X116" s="1008"/>
      <c r="Y116" s="1104">
        <v>4</v>
      </c>
      <c r="Z116" s="776">
        <v>2.903</v>
      </c>
    </row>
    <row r="117" spans="2:26" s="90" customFormat="1" x14ac:dyDescent="0.2">
      <c r="B117" s="999">
        <f t="shared" si="1"/>
        <v>105</v>
      </c>
      <c r="C117" s="141" t="s">
        <v>136</v>
      </c>
      <c r="D117" s="989">
        <f>F117+G117+I117+O117</f>
        <v>40</v>
      </c>
      <c r="E117" s="1000">
        <v>30</v>
      </c>
      <c r="F117" s="1000">
        <v>30</v>
      </c>
      <c r="G117" s="1000"/>
      <c r="H117" s="1000"/>
      <c r="I117" s="1000"/>
      <c r="J117" s="1001"/>
      <c r="K117" s="1002"/>
      <c r="L117" s="1003"/>
      <c r="M117" s="1010"/>
      <c r="N117" s="1005"/>
      <c r="O117" s="1000">
        <v>10</v>
      </c>
      <c r="P117" s="1001"/>
      <c r="Q117" s="1002"/>
      <c r="R117" s="1006"/>
      <c r="S117" s="1001"/>
      <c r="T117" s="1007"/>
      <c r="U117" s="1001">
        <v>20</v>
      </c>
      <c r="V117" s="1000"/>
      <c r="W117" s="1000"/>
      <c r="X117" s="1008"/>
      <c r="Y117" s="1104">
        <v>69</v>
      </c>
      <c r="Z117" s="776">
        <v>35.057000000000002</v>
      </c>
    </row>
    <row r="118" spans="2:26" s="90" customFormat="1" x14ac:dyDescent="0.2">
      <c r="B118" s="999">
        <f t="shared" si="1"/>
        <v>106</v>
      </c>
      <c r="C118" s="141" t="s">
        <v>94</v>
      </c>
      <c r="D118" s="989">
        <f>F118+G118+I118+O118</f>
        <v>5</v>
      </c>
      <c r="E118" s="1000">
        <v>5</v>
      </c>
      <c r="F118" s="1000">
        <v>5</v>
      </c>
      <c r="G118" s="1000"/>
      <c r="H118" s="1000"/>
      <c r="I118" s="1000"/>
      <c r="J118" s="1001"/>
      <c r="K118" s="1002"/>
      <c r="L118" s="1003"/>
      <c r="M118" s="1010"/>
      <c r="N118" s="1005"/>
      <c r="O118" s="1000"/>
      <c r="P118" s="1001"/>
      <c r="Q118" s="1002"/>
      <c r="R118" s="1006"/>
      <c r="S118" s="1001"/>
      <c r="T118" s="1007"/>
      <c r="U118" s="1001">
        <v>4</v>
      </c>
      <c r="V118" s="1000"/>
      <c r="W118" s="1000"/>
      <c r="X118" s="1008"/>
      <c r="Y118" s="1104">
        <v>2</v>
      </c>
      <c r="Z118" s="776">
        <v>0.41299999999999998</v>
      </c>
    </row>
    <row r="119" spans="2:26" s="90" customFormat="1" x14ac:dyDescent="0.2">
      <c r="B119" s="999">
        <f t="shared" si="1"/>
        <v>107</v>
      </c>
      <c r="C119" s="141" t="s">
        <v>299</v>
      </c>
      <c r="D119" s="989">
        <f>F119+G119+I119+O119</f>
        <v>15</v>
      </c>
      <c r="E119" s="1000"/>
      <c r="F119" s="1000">
        <v>3</v>
      </c>
      <c r="G119" s="1000"/>
      <c r="H119" s="1000"/>
      <c r="I119" s="1000"/>
      <c r="J119" s="1001"/>
      <c r="K119" s="1002"/>
      <c r="L119" s="1003"/>
      <c r="M119" s="1004"/>
      <c r="N119" s="1005"/>
      <c r="O119" s="1000">
        <v>12</v>
      </c>
      <c r="P119" s="1001"/>
      <c r="Q119" s="1002"/>
      <c r="R119" s="1006">
        <v>12</v>
      </c>
      <c r="S119" s="1001"/>
      <c r="T119" s="1007"/>
      <c r="U119" s="1001">
        <v>6</v>
      </c>
      <c r="V119" s="1000"/>
      <c r="W119" s="1000"/>
      <c r="X119" s="1008"/>
      <c r="Y119" s="1012">
        <v>34</v>
      </c>
      <c r="Z119" s="790">
        <v>8.2110000000000003</v>
      </c>
    </row>
    <row r="120" spans="2:26" s="90" customFormat="1" x14ac:dyDescent="0.2">
      <c r="B120" s="999">
        <f t="shared" si="1"/>
        <v>108</v>
      </c>
      <c r="C120" s="141" t="s">
        <v>384</v>
      </c>
      <c r="D120" s="989">
        <f>F120+G120+I120+O120</f>
        <v>4</v>
      </c>
      <c r="E120" s="1000"/>
      <c r="F120" s="1000">
        <v>4</v>
      </c>
      <c r="G120" s="1000"/>
      <c r="H120" s="1000"/>
      <c r="I120" s="1000"/>
      <c r="J120" s="1001"/>
      <c r="K120" s="1002"/>
      <c r="L120" s="1003"/>
      <c r="M120" s="1004"/>
      <c r="N120" s="1005"/>
      <c r="O120" s="1000"/>
      <c r="P120" s="1001"/>
      <c r="Q120" s="1002"/>
      <c r="R120" s="1006"/>
      <c r="S120" s="1001"/>
      <c r="T120" s="1007"/>
      <c r="U120" s="1001">
        <v>5</v>
      </c>
      <c r="V120" s="1000"/>
      <c r="W120" s="1000"/>
      <c r="X120" s="1008"/>
      <c r="Y120" s="1012">
        <v>52</v>
      </c>
      <c r="Z120" s="790">
        <v>13.483000000000001</v>
      </c>
    </row>
    <row r="121" spans="2:26" s="90" customFormat="1" x14ac:dyDescent="0.2">
      <c r="B121" s="999">
        <f t="shared" si="1"/>
        <v>109</v>
      </c>
      <c r="C121" s="141" t="s">
        <v>140</v>
      </c>
      <c r="D121" s="989">
        <f>F121+G121+I121+O121</f>
        <v>22</v>
      </c>
      <c r="E121" s="1000"/>
      <c r="F121" s="1000">
        <v>4</v>
      </c>
      <c r="G121" s="1000"/>
      <c r="H121" s="1000"/>
      <c r="I121" s="1000"/>
      <c r="J121" s="1001"/>
      <c r="K121" s="1002"/>
      <c r="L121" s="1003"/>
      <c r="M121" s="1004"/>
      <c r="N121" s="1005"/>
      <c r="O121" s="1000">
        <v>18</v>
      </c>
      <c r="P121" s="1001"/>
      <c r="Q121" s="1002"/>
      <c r="R121" s="1006">
        <v>18</v>
      </c>
      <c r="S121" s="1001"/>
      <c r="T121" s="1007"/>
      <c r="U121" s="1001">
        <v>7</v>
      </c>
      <c r="V121" s="1000"/>
      <c r="W121" s="1000"/>
      <c r="X121" s="1008"/>
      <c r="Y121" s="1012">
        <v>23</v>
      </c>
      <c r="Z121" s="790">
        <v>8.6869999999999994</v>
      </c>
    </row>
    <row r="122" spans="2:26" s="90" customFormat="1" x14ac:dyDescent="0.2">
      <c r="B122" s="999">
        <f t="shared" si="1"/>
        <v>110</v>
      </c>
      <c r="C122" s="1017" t="s">
        <v>142</v>
      </c>
      <c r="D122" s="989">
        <f>F122+G122+I122+O122</f>
        <v>11</v>
      </c>
      <c r="E122" s="1000">
        <v>10</v>
      </c>
      <c r="F122" s="1000">
        <v>11</v>
      </c>
      <c r="G122" s="1000"/>
      <c r="H122" s="1000"/>
      <c r="I122" s="1000"/>
      <c r="J122" s="1001"/>
      <c r="K122" s="1002"/>
      <c r="L122" s="1003"/>
      <c r="M122" s="1010"/>
      <c r="N122" s="1005"/>
      <c r="O122" s="1000"/>
      <c r="P122" s="1001"/>
      <c r="Q122" s="1002"/>
      <c r="R122" s="1006"/>
      <c r="S122" s="1001"/>
      <c r="T122" s="1007">
        <v>1</v>
      </c>
      <c r="U122" s="1001">
        <v>3</v>
      </c>
      <c r="V122" s="1000"/>
      <c r="W122" s="1000"/>
      <c r="X122" s="1008" t="s">
        <v>385</v>
      </c>
      <c r="Y122" s="1104">
        <v>6</v>
      </c>
      <c r="Z122" s="776">
        <v>6.423</v>
      </c>
    </row>
    <row r="123" spans="2:26" s="90" customFormat="1" x14ac:dyDescent="0.2">
      <c r="B123" s="999">
        <f t="shared" si="1"/>
        <v>111</v>
      </c>
      <c r="C123" s="141" t="s">
        <v>144</v>
      </c>
      <c r="D123" s="989">
        <f>F123+G123+I123+O123</f>
        <v>3</v>
      </c>
      <c r="E123" s="1000"/>
      <c r="F123" s="1000">
        <v>3</v>
      </c>
      <c r="G123" s="1000"/>
      <c r="H123" s="1000"/>
      <c r="I123" s="1000"/>
      <c r="J123" s="1001"/>
      <c r="K123" s="1002"/>
      <c r="L123" s="1003"/>
      <c r="M123" s="1004"/>
      <c r="N123" s="1005"/>
      <c r="O123" s="1000"/>
      <c r="P123" s="1001"/>
      <c r="Q123" s="1002"/>
      <c r="R123" s="1006"/>
      <c r="S123" s="1001"/>
      <c r="T123" s="1007"/>
      <c r="U123" s="1001">
        <v>5</v>
      </c>
      <c r="V123" s="1000"/>
      <c r="W123" s="1000"/>
      <c r="X123" s="1008"/>
      <c r="Y123" s="1012">
        <v>18</v>
      </c>
      <c r="Z123" s="790">
        <v>7.6181999999999999</v>
      </c>
    </row>
    <row r="124" spans="2:26" s="90" customFormat="1" x14ac:dyDescent="0.2">
      <c r="B124" s="999">
        <f t="shared" si="1"/>
        <v>112</v>
      </c>
      <c r="C124" s="141" t="s">
        <v>145</v>
      </c>
      <c r="D124" s="989">
        <f>F124+G124+I124+O124</f>
        <v>4</v>
      </c>
      <c r="E124" s="1000"/>
      <c r="F124" s="1000"/>
      <c r="G124" s="1000"/>
      <c r="H124" s="1000"/>
      <c r="I124" s="1000"/>
      <c r="J124" s="1001"/>
      <c r="K124" s="1002"/>
      <c r="L124" s="1003"/>
      <c r="M124" s="1010"/>
      <c r="N124" s="1005"/>
      <c r="O124" s="1000">
        <v>4</v>
      </c>
      <c r="P124" s="1001"/>
      <c r="Q124" s="1002"/>
      <c r="R124" s="1006"/>
      <c r="S124" s="1001"/>
      <c r="T124" s="1007"/>
      <c r="U124" s="1001">
        <v>2</v>
      </c>
      <c r="V124" s="1000"/>
      <c r="W124" s="1000"/>
      <c r="X124" s="1008"/>
      <c r="Y124" s="1104">
        <v>20</v>
      </c>
      <c r="Z124" s="776">
        <v>6.2370000000000001</v>
      </c>
    </row>
    <row r="125" spans="2:26" s="90" customFormat="1" x14ac:dyDescent="0.2">
      <c r="B125" s="999">
        <f t="shared" si="1"/>
        <v>113</v>
      </c>
      <c r="C125" s="141" t="s">
        <v>386</v>
      </c>
      <c r="D125" s="989">
        <f>F125+G125+I125+O125</f>
        <v>4</v>
      </c>
      <c r="E125" s="1000"/>
      <c r="F125" s="1000">
        <v>4</v>
      </c>
      <c r="G125" s="1000"/>
      <c r="H125" s="1000"/>
      <c r="I125" s="1000"/>
      <c r="J125" s="1001"/>
      <c r="K125" s="1002"/>
      <c r="L125" s="1003"/>
      <c r="M125" s="1004"/>
      <c r="N125" s="1005"/>
      <c r="O125" s="1000"/>
      <c r="P125" s="1001"/>
      <c r="Q125" s="1002"/>
      <c r="R125" s="1006"/>
      <c r="S125" s="1001"/>
      <c r="T125" s="1007"/>
      <c r="U125" s="1001">
        <v>8</v>
      </c>
      <c r="V125" s="1000"/>
      <c r="W125" s="1000"/>
      <c r="X125" s="1008"/>
      <c r="Y125" s="1012">
        <f>13+6+2+2+8</f>
        <v>31</v>
      </c>
      <c r="Z125" s="790">
        <f>0.115+1.2654+3.0507+0.7602+1.8371+3.531</f>
        <v>10.5594</v>
      </c>
    </row>
    <row r="126" spans="2:26" s="90" customFormat="1" x14ac:dyDescent="0.2">
      <c r="B126" s="999">
        <f t="shared" si="1"/>
        <v>114</v>
      </c>
      <c r="C126" s="1017" t="s">
        <v>255</v>
      </c>
      <c r="D126" s="989">
        <f>F126+G126+I126+O126</f>
        <v>18</v>
      </c>
      <c r="E126" s="1000">
        <v>7</v>
      </c>
      <c r="F126" s="1000">
        <v>8</v>
      </c>
      <c r="G126" s="1000">
        <v>8</v>
      </c>
      <c r="H126" s="1000"/>
      <c r="I126" s="1000"/>
      <c r="J126" s="1001"/>
      <c r="K126" s="1002"/>
      <c r="L126" s="1003"/>
      <c r="M126" s="1010"/>
      <c r="N126" s="1005"/>
      <c r="O126" s="1000">
        <v>2</v>
      </c>
      <c r="P126" s="1001">
        <v>1.5</v>
      </c>
      <c r="Q126" s="1002"/>
      <c r="R126" s="1006"/>
      <c r="S126" s="1001"/>
      <c r="T126" s="1007"/>
      <c r="U126" s="1001"/>
      <c r="V126" s="1000"/>
      <c r="W126" s="1000"/>
      <c r="X126" s="1008"/>
      <c r="Y126" s="1104">
        <v>49</v>
      </c>
      <c r="Z126" s="776">
        <v>11.749000000000001</v>
      </c>
    </row>
    <row r="127" spans="2:26" s="90" customFormat="1" x14ac:dyDescent="0.2">
      <c r="B127" s="999">
        <f t="shared" si="1"/>
        <v>115</v>
      </c>
      <c r="C127" s="141" t="s">
        <v>270</v>
      </c>
      <c r="D127" s="989">
        <f>F127+G127+I127+O127</f>
        <v>6</v>
      </c>
      <c r="E127" s="1000"/>
      <c r="F127" s="1000">
        <v>6</v>
      </c>
      <c r="G127" s="1000"/>
      <c r="H127" s="1000"/>
      <c r="I127" s="1000"/>
      <c r="J127" s="1001"/>
      <c r="K127" s="1002"/>
      <c r="L127" s="1003"/>
      <c r="M127" s="1004"/>
      <c r="N127" s="1005"/>
      <c r="O127" s="1000"/>
      <c r="P127" s="1001"/>
      <c r="Q127" s="1002"/>
      <c r="R127" s="1006"/>
      <c r="S127" s="1001"/>
      <c r="T127" s="1007"/>
      <c r="U127" s="1001">
        <v>10</v>
      </c>
      <c r="V127" s="1000"/>
      <c r="W127" s="1000"/>
      <c r="X127" s="1008"/>
      <c r="Y127" s="1012">
        <v>30</v>
      </c>
      <c r="Z127" s="790">
        <v>9.64</v>
      </c>
    </row>
    <row r="128" spans="2:26" s="90" customFormat="1" x14ac:dyDescent="0.2">
      <c r="B128" s="999">
        <f t="shared" si="1"/>
        <v>116</v>
      </c>
      <c r="C128" s="141" t="s">
        <v>301</v>
      </c>
      <c r="D128" s="989">
        <f>F128+G128+I128+O128</f>
        <v>28</v>
      </c>
      <c r="E128" s="1000"/>
      <c r="F128" s="1000">
        <v>10</v>
      </c>
      <c r="G128" s="1000"/>
      <c r="H128" s="1000"/>
      <c r="I128" s="1000"/>
      <c r="J128" s="1001"/>
      <c r="K128" s="1002"/>
      <c r="L128" s="1003"/>
      <c r="M128" s="1004"/>
      <c r="N128" s="1005"/>
      <c r="O128" s="1000">
        <v>18</v>
      </c>
      <c r="P128" s="1001"/>
      <c r="Q128" s="1002"/>
      <c r="R128" s="1006">
        <v>18</v>
      </c>
      <c r="S128" s="1001"/>
      <c r="T128" s="1007"/>
      <c r="U128" s="1001">
        <v>7</v>
      </c>
      <c r="V128" s="1000"/>
      <c r="W128" s="1000"/>
      <c r="X128" s="1008"/>
      <c r="Y128" s="1012">
        <v>17</v>
      </c>
      <c r="Z128" s="790">
        <f>6.1014+0.4602+0.0954</f>
        <v>6.657</v>
      </c>
    </row>
    <row r="129" spans="2:26" s="90" customFormat="1" ht="13.5" thickBot="1" x14ac:dyDescent="0.25">
      <c r="B129" s="999">
        <f t="shared" si="1"/>
        <v>117</v>
      </c>
      <c r="C129" s="1017" t="s">
        <v>258</v>
      </c>
      <c r="D129" s="989">
        <f>F129+G129+I129+O129</f>
        <v>22</v>
      </c>
      <c r="E129" s="1000"/>
      <c r="F129" s="1000">
        <v>10</v>
      </c>
      <c r="G129" s="1000">
        <v>10</v>
      </c>
      <c r="H129" s="1000"/>
      <c r="I129" s="1000"/>
      <c r="J129" s="1001"/>
      <c r="K129" s="1002"/>
      <c r="L129" s="1003"/>
      <c r="M129" s="1010"/>
      <c r="N129" s="1005"/>
      <c r="O129" s="1000">
        <v>2</v>
      </c>
      <c r="P129" s="1001"/>
      <c r="Q129" s="1002"/>
      <c r="R129" s="1006"/>
      <c r="S129" s="1001"/>
      <c r="T129" s="1007"/>
      <c r="U129" s="1001"/>
      <c r="V129" s="1000"/>
      <c r="W129" s="1000"/>
      <c r="X129" s="1008"/>
      <c r="Y129" s="1104">
        <v>51</v>
      </c>
      <c r="Z129" s="777">
        <v>13.6823</v>
      </c>
    </row>
    <row r="130" spans="2:26" s="90" customFormat="1" ht="13.5" thickBot="1" x14ac:dyDescent="0.25">
      <c r="B130" s="324"/>
      <c r="C130" s="1030" t="s">
        <v>578</v>
      </c>
      <c r="D130" s="1031">
        <f>SUM(D13:D129)</f>
        <v>1228</v>
      </c>
      <c r="E130" s="1031">
        <f>SUM(E13:E129)</f>
        <v>360.6</v>
      </c>
      <c r="F130" s="1031"/>
      <c r="G130" s="1031">
        <f>SUM(G13:G129)</f>
        <v>241</v>
      </c>
      <c r="H130" s="1031"/>
      <c r="I130" s="1031">
        <f>SUM(I13:I129)</f>
        <v>15</v>
      </c>
      <c r="J130" s="1031">
        <f>SUM(J13:J129)</f>
        <v>4</v>
      </c>
      <c r="K130" s="1032">
        <f>SUM(K13:K129)</f>
        <v>0</v>
      </c>
      <c r="L130" s="1033">
        <f>SUM(L13:L129)</f>
        <v>0</v>
      </c>
      <c r="M130" s="1034">
        <f>SUM(M13:M129)</f>
        <v>0</v>
      </c>
      <c r="N130" s="1035"/>
      <c r="O130" s="1031">
        <f>SUM(O13:O129)</f>
        <v>342</v>
      </c>
      <c r="P130" s="1031">
        <f>SUM(P13:P129)</f>
        <v>7.1</v>
      </c>
      <c r="Q130" s="1031">
        <f>SUM(Q13:Q129)</f>
        <v>0</v>
      </c>
      <c r="R130" s="1031">
        <f>SUM(R13:R129)</f>
        <v>141</v>
      </c>
      <c r="S130" s="1032">
        <f>SUM(S13:S129)</f>
        <v>0</v>
      </c>
      <c r="T130" s="1036"/>
      <c r="U130" s="1032"/>
      <c r="V130" s="1031"/>
      <c r="W130" s="1031"/>
      <c r="X130" s="1037"/>
      <c r="Y130" s="1106">
        <f>SUM(Y13:Y129)</f>
        <v>2437</v>
      </c>
      <c r="Z130" s="1107">
        <f>SUM(Z13:Z129)</f>
        <v>1288.2024050000002</v>
      </c>
    </row>
    <row r="131" spans="2:26" s="90" customFormat="1" ht="21.75" customHeight="1" thickBot="1" x14ac:dyDescent="0.25">
      <c r="B131" s="1038"/>
      <c r="C131" s="1039" t="s">
        <v>560</v>
      </c>
      <c r="D131" s="723"/>
      <c r="E131" s="723"/>
      <c r="F131" s="723"/>
      <c r="G131" s="723"/>
      <c r="H131" s="723"/>
      <c r="I131" s="723"/>
      <c r="J131" s="723"/>
      <c r="K131" s="723"/>
      <c r="L131" s="723"/>
      <c r="M131" s="723"/>
      <c r="N131" s="723"/>
      <c r="O131" s="723"/>
      <c r="P131" s="723"/>
      <c r="Q131" s="723"/>
      <c r="R131" s="723"/>
      <c r="S131" s="723"/>
      <c r="T131" s="723"/>
      <c r="U131" s="1040"/>
      <c r="V131" s="723"/>
      <c r="W131" s="723"/>
      <c r="X131" s="723"/>
      <c r="Y131" s="771"/>
      <c r="Z131" s="772"/>
    </row>
    <row r="132" spans="2:26" s="90" customFormat="1" ht="12.75" customHeight="1" x14ac:dyDescent="0.2">
      <c r="B132" s="1041" t="s">
        <v>345</v>
      </c>
      <c r="C132" s="1042" t="s">
        <v>7</v>
      </c>
      <c r="D132" s="1043" t="s">
        <v>346</v>
      </c>
      <c r="E132" s="1044" t="s">
        <v>347</v>
      </c>
      <c r="F132" s="1045"/>
      <c r="G132" s="1043" t="s">
        <v>348</v>
      </c>
      <c r="H132" s="1043" t="s">
        <v>314</v>
      </c>
      <c r="I132" s="1046" t="s">
        <v>349</v>
      </c>
      <c r="J132" s="1047"/>
      <c r="K132" s="1048" t="s">
        <v>314</v>
      </c>
      <c r="L132" s="1049" t="s">
        <v>350</v>
      </c>
      <c r="M132" s="1050"/>
      <c r="N132" s="1051"/>
      <c r="O132" s="1052" t="s">
        <v>335</v>
      </c>
      <c r="P132" s="488"/>
      <c r="Q132" s="727" t="s">
        <v>314</v>
      </c>
      <c r="R132" s="1053" t="s">
        <v>349</v>
      </c>
      <c r="S132" s="1047"/>
      <c r="T132" s="1054"/>
      <c r="U132" s="1055"/>
      <c r="V132" s="1056"/>
      <c r="W132" s="1056"/>
      <c r="X132" s="1057"/>
      <c r="Y132" s="1049" t="s">
        <v>350</v>
      </c>
      <c r="Z132" s="1108"/>
    </row>
    <row r="133" spans="2:26" s="90" customFormat="1" ht="12.75" customHeight="1" x14ac:dyDescent="0.2">
      <c r="B133" s="1058"/>
      <c r="C133" s="1059"/>
      <c r="D133" s="1060"/>
      <c r="E133" s="1061"/>
      <c r="F133" s="1062"/>
      <c r="G133" s="1060"/>
      <c r="H133" s="1063"/>
      <c r="I133" s="1064" t="s">
        <v>351</v>
      </c>
      <c r="J133" s="1065"/>
      <c r="K133" s="1066"/>
      <c r="L133" s="1067"/>
      <c r="M133" s="1068"/>
      <c r="N133" s="1069"/>
      <c r="O133" s="1070"/>
      <c r="P133" s="1071"/>
      <c r="Q133" s="1072"/>
      <c r="R133" s="1073" t="s">
        <v>352</v>
      </c>
      <c r="S133" s="1074"/>
      <c r="T133" s="1075"/>
      <c r="U133" s="1076"/>
      <c r="V133" s="1077"/>
      <c r="W133" s="1077"/>
      <c r="X133" s="1078"/>
      <c r="Y133" s="1067"/>
      <c r="Z133" s="1109"/>
    </row>
    <row r="134" spans="2:26" s="90" customFormat="1" ht="12.75" customHeight="1" x14ac:dyDescent="0.2">
      <c r="B134" s="1058"/>
      <c r="C134" s="1059"/>
      <c r="D134" s="1079" t="s">
        <v>211</v>
      </c>
      <c r="E134" s="1080" t="s">
        <v>319</v>
      </c>
      <c r="F134" s="1079" t="s">
        <v>211</v>
      </c>
      <c r="G134" s="1079" t="s">
        <v>307</v>
      </c>
      <c r="H134" s="1060"/>
      <c r="I134" s="1079" t="s">
        <v>307</v>
      </c>
      <c r="J134" s="1081" t="s">
        <v>319</v>
      </c>
      <c r="K134" s="1082"/>
      <c r="L134" s="1083" t="s">
        <v>211</v>
      </c>
      <c r="M134" s="1084" t="s">
        <v>213</v>
      </c>
      <c r="N134" s="1085" t="s">
        <v>318</v>
      </c>
      <c r="O134" s="1086" t="s">
        <v>307</v>
      </c>
      <c r="P134" s="1087" t="s">
        <v>319</v>
      </c>
      <c r="Q134" s="1088"/>
      <c r="R134" s="1079" t="s">
        <v>307</v>
      </c>
      <c r="S134" s="1081" t="s">
        <v>319</v>
      </c>
      <c r="T134" s="1089"/>
      <c r="U134" s="1090"/>
      <c r="V134" s="1080"/>
      <c r="W134" s="1080"/>
      <c r="X134" s="1091"/>
      <c r="Y134" s="1083" t="s">
        <v>211</v>
      </c>
      <c r="Z134" s="1110" t="s">
        <v>213</v>
      </c>
    </row>
    <row r="135" spans="2:26" s="90" customFormat="1" ht="12.75" customHeight="1" x14ac:dyDescent="0.2">
      <c r="B135" s="140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092"/>
      <c r="T135" s="132"/>
      <c r="U135" s="1092"/>
      <c r="V135" s="135"/>
      <c r="W135" s="135"/>
      <c r="X135" s="1093"/>
      <c r="Y135" s="775"/>
      <c r="Z135" s="777"/>
    </row>
    <row r="136" spans="2:26" s="90" customFormat="1" ht="12.75" customHeight="1" x14ac:dyDescent="0.2">
      <c r="B136" s="140">
        <v>1</v>
      </c>
      <c r="C136" s="135" t="s">
        <v>217</v>
      </c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092"/>
      <c r="T136" s="132"/>
      <c r="U136" s="1092"/>
      <c r="V136" s="135"/>
      <c r="W136" s="135"/>
      <c r="X136" s="1093"/>
      <c r="Y136" s="775">
        <v>6</v>
      </c>
      <c r="Z136" s="776">
        <v>4.1130000000000004</v>
      </c>
    </row>
    <row r="137" spans="2:26" s="90" customFormat="1" ht="12.75" customHeight="1" x14ac:dyDescent="0.2">
      <c r="B137" s="140">
        <f>B136+1</f>
        <v>2</v>
      </c>
      <c r="C137" s="135" t="s">
        <v>35</v>
      </c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092"/>
      <c r="T137" s="132"/>
      <c r="U137" s="1092"/>
      <c r="V137" s="135"/>
      <c r="W137" s="135"/>
      <c r="X137" s="1093"/>
      <c r="Y137" s="775">
        <v>2</v>
      </c>
      <c r="Z137" s="776">
        <v>1.0941000000000001</v>
      </c>
    </row>
    <row r="138" spans="2:26" s="90" customFormat="1" ht="12.75" customHeight="1" x14ac:dyDescent="0.2">
      <c r="B138" s="140">
        <f t="shared" ref="B138:B163" si="2">B137+1</f>
        <v>3</v>
      </c>
      <c r="C138" s="135" t="s">
        <v>387</v>
      </c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092"/>
      <c r="T138" s="132"/>
      <c r="U138" s="1092"/>
      <c r="V138" s="135"/>
      <c r="W138" s="135"/>
      <c r="X138" s="1093"/>
      <c r="Y138" s="775">
        <v>2</v>
      </c>
      <c r="Z138" s="776">
        <v>0.115</v>
      </c>
    </row>
    <row r="139" spans="2:26" s="90" customFormat="1" ht="12.75" customHeight="1" x14ac:dyDescent="0.2">
      <c r="B139" s="140">
        <f t="shared" si="2"/>
        <v>4</v>
      </c>
      <c r="C139" s="141" t="s">
        <v>158</v>
      </c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092"/>
      <c r="T139" s="132"/>
      <c r="U139" s="1092"/>
      <c r="V139" s="135"/>
      <c r="W139" s="135"/>
      <c r="X139" s="1093"/>
      <c r="Y139" s="775">
        <v>16</v>
      </c>
      <c r="Z139" s="776">
        <f>5.0845+0.3979+0.0954</f>
        <v>5.5777999999999999</v>
      </c>
    </row>
    <row r="140" spans="2:26" s="90" customFormat="1" ht="12.75" customHeight="1" x14ac:dyDescent="0.2">
      <c r="B140" s="140">
        <f t="shared" si="2"/>
        <v>5</v>
      </c>
      <c r="C140" s="135" t="s">
        <v>388</v>
      </c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092"/>
      <c r="T140" s="132">
        <v>4</v>
      </c>
      <c r="U140" s="1092"/>
      <c r="V140" s="135"/>
      <c r="W140" s="135"/>
      <c r="X140" s="1093" t="s">
        <v>389</v>
      </c>
      <c r="Y140" s="775">
        <v>5</v>
      </c>
      <c r="Z140" s="776">
        <v>12.715999999999999</v>
      </c>
    </row>
    <row r="141" spans="2:26" s="90" customFormat="1" ht="12.75" customHeight="1" x14ac:dyDescent="0.2">
      <c r="B141" s="140">
        <f t="shared" si="2"/>
        <v>6</v>
      </c>
      <c r="C141" s="135" t="s">
        <v>48</v>
      </c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092"/>
      <c r="T141" s="132"/>
      <c r="U141" s="1092"/>
      <c r="V141" s="135"/>
      <c r="W141" s="135"/>
      <c r="X141" s="1093"/>
      <c r="Y141" s="775">
        <v>20</v>
      </c>
      <c r="Z141" s="776">
        <v>27.777000000000001</v>
      </c>
    </row>
    <row r="142" spans="2:26" s="90" customFormat="1" ht="12.75" customHeight="1" x14ac:dyDescent="0.2">
      <c r="B142" s="140">
        <f t="shared" si="2"/>
        <v>7</v>
      </c>
      <c r="C142" s="135" t="s">
        <v>265</v>
      </c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092"/>
      <c r="T142" s="132"/>
      <c r="U142" s="1092"/>
      <c r="V142" s="135"/>
      <c r="W142" s="135"/>
      <c r="X142" s="1093"/>
      <c r="Y142" s="775">
        <v>29</v>
      </c>
      <c r="Z142" s="776">
        <v>12.741</v>
      </c>
    </row>
    <row r="143" spans="2:26" s="90" customFormat="1" ht="12.75" customHeight="1" x14ac:dyDescent="0.2">
      <c r="B143" s="140">
        <f t="shared" si="2"/>
        <v>8</v>
      </c>
      <c r="C143" s="135" t="s">
        <v>266</v>
      </c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092"/>
      <c r="T143" s="132"/>
      <c r="U143" s="1092"/>
      <c r="V143" s="135"/>
      <c r="W143" s="135"/>
      <c r="X143" s="1093"/>
      <c r="Y143" s="775">
        <v>15</v>
      </c>
      <c r="Z143" s="776">
        <f>5.047+1.324</f>
        <v>6.3709999999999996</v>
      </c>
    </row>
    <row r="144" spans="2:26" s="90" customFormat="1" ht="12.75" customHeight="1" x14ac:dyDescent="0.2">
      <c r="B144" s="140">
        <f t="shared" si="2"/>
        <v>9</v>
      </c>
      <c r="C144" s="135" t="s">
        <v>45</v>
      </c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092"/>
      <c r="T144" s="132"/>
      <c r="U144" s="1092"/>
      <c r="V144" s="135"/>
      <c r="W144" s="135"/>
      <c r="X144" s="1093"/>
      <c r="Y144" s="775">
        <v>12</v>
      </c>
      <c r="Z144" s="776">
        <v>6.1280000000000001</v>
      </c>
    </row>
    <row r="145" spans="2:26" s="90" customFormat="1" ht="12.75" customHeight="1" x14ac:dyDescent="0.2">
      <c r="B145" s="140">
        <f t="shared" si="2"/>
        <v>10</v>
      </c>
      <c r="C145" s="135" t="s">
        <v>390</v>
      </c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092"/>
      <c r="T145" s="132"/>
      <c r="U145" s="1092"/>
      <c r="V145" s="135"/>
      <c r="W145" s="135"/>
      <c r="X145" s="1093"/>
      <c r="Y145" s="775">
        <v>2</v>
      </c>
      <c r="Z145" s="776">
        <v>1.0168999999999999</v>
      </c>
    </row>
    <row r="146" spans="2:26" s="90" customFormat="1" ht="12.75" customHeight="1" x14ac:dyDescent="0.2">
      <c r="B146" s="140">
        <f t="shared" si="2"/>
        <v>11</v>
      </c>
      <c r="C146" s="135" t="s">
        <v>268</v>
      </c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092"/>
      <c r="T146" s="132"/>
      <c r="U146" s="1092"/>
      <c r="V146" s="135">
        <v>2</v>
      </c>
      <c r="W146" s="135"/>
      <c r="X146" s="1093"/>
      <c r="Y146" s="775">
        <v>58</v>
      </c>
      <c r="Z146" s="776">
        <v>12.62</v>
      </c>
    </row>
    <row r="147" spans="2:26" s="90" customFormat="1" ht="12.75" customHeight="1" x14ac:dyDescent="0.2">
      <c r="B147" s="140">
        <f t="shared" si="2"/>
        <v>12</v>
      </c>
      <c r="C147" s="135" t="s">
        <v>110</v>
      </c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092"/>
      <c r="T147" s="132"/>
      <c r="U147" s="1092"/>
      <c r="V147" s="135"/>
      <c r="W147" s="135"/>
      <c r="X147" s="1093"/>
      <c r="Y147" s="775">
        <v>38</v>
      </c>
      <c r="Z147" s="776">
        <v>36.265999999999998</v>
      </c>
    </row>
    <row r="148" spans="2:26" s="90" customFormat="1" ht="12.75" customHeight="1" x14ac:dyDescent="0.2">
      <c r="B148" s="140">
        <f t="shared" si="2"/>
        <v>13</v>
      </c>
      <c r="C148" s="135" t="s">
        <v>171</v>
      </c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092"/>
      <c r="T148" s="132"/>
      <c r="U148" s="1092"/>
      <c r="V148" s="135"/>
      <c r="W148" s="135"/>
      <c r="X148" s="1093"/>
      <c r="Y148" s="775">
        <v>31</v>
      </c>
      <c r="Z148" s="776">
        <v>30.216000000000001</v>
      </c>
    </row>
    <row r="149" spans="2:26" s="90" customFormat="1" ht="12.75" customHeight="1" x14ac:dyDescent="0.2">
      <c r="B149" s="140">
        <f t="shared" si="2"/>
        <v>14</v>
      </c>
      <c r="C149" s="135" t="s">
        <v>172</v>
      </c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092"/>
      <c r="T149" s="132">
        <v>6</v>
      </c>
      <c r="U149" s="1092"/>
      <c r="V149" s="135">
        <v>4</v>
      </c>
      <c r="W149" s="135"/>
      <c r="X149" s="1093"/>
      <c r="Y149" s="775">
        <v>23</v>
      </c>
      <c r="Z149" s="776">
        <v>3.5529999999999999</v>
      </c>
    </row>
    <row r="150" spans="2:26" s="90" customFormat="1" ht="12.75" customHeight="1" x14ac:dyDescent="0.2">
      <c r="B150" s="140">
        <f t="shared" si="2"/>
        <v>15</v>
      </c>
      <c r="C150" s="135" t="s">
        <v>111</v>
      </c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092"/>
      <c r="T150" s="132"/>
      <c r="U150" s="1092"/>
      <c r="V150" s="135"/>
      <c r="W150" s="135"/>
      <c r="X150" s="1093"/>
      <c r="Y150" s="775">
        <v>5</v>
      </c>
      <c r="Z150" s="776">
        <v>2.4150999999999998</v>
      </c>
    </row>
    <row r="151" spans="2:26" s="90" customFormat="1" ht="12.75" customHeight="1" x14ac:dyDescent="0.2">
      <c r="B151" s="140">
        <f t="shared" si="2"/>
        <v>16</v>
      </c>
      <c r="C151" s="135" t="s">
        <v>173</v>
      </c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092"/>
      <c r="T151" s="132">
        <v>69</v>
      </c>
      <c r="U151" s="1092"/>
      <c r="V151" s="135">
        <v>4</v>
      </c>
      <c r="W151" s="135"/>
      <c r="X151" s="1093"/>
      <c r="Y151" s="775">
        <v>61</v>
      </c>
      <c r="Z151" s="776">
        <v>49.521999999999998</v>
      </c>
    </row>
    <row r="152" spans="2:26" s="90" customFormat="1" ht="12.75" customHeight="1" x14ac:dyDescent="0.2">
      <c r="B152" s="140">
        <f t="shared" si="2"/>
        <v>17</v>
      </c>
      <c r="C152" s="135" t="s">
        <v>391</v>
      </c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092"/>
      <c r="T152" s="132"/>
      <c r="U152" s="1092"/>
      <c r="V152" s="135"/>
      <c r="W152" s="135"/>
      <c r="X152" s="1093"/>
      <c r="Y152" s="775">
        <v>11</v>
      </c>
      <c r="Z152" s="776">
        <v>5.1959999999999997</v>
      </c>
    </row>
    <row r="153" spans="2:26" s="90" customFormat="1" ht="12.75" customHeight="1" x14ac:dyDescent="0.2">
      <c r="B153" s="140">
        <f t="shared" si="2"/>
        <v>18</v>
      </c>
      <c r="C153" s="135" t="s">
        <v>292</v>
      </c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092"/>
      <c r="T153" s="132"/>
      <c r="U153" s="1092"/>
      <c r="V153" s="135"/>
      <c r="W153" s="135"/>
      <c r="X153" s="1093"/>
      <c r="Y153" s="775">
        <v>10</v>
      </c>
      <c r="Z153" s="776">
        <v>1.3871</v>
      </c>
    </row>
    <row r="154" spans="2:26" s="90" customFormat="1" ht="12.75" customHeight="1" x14ac:dyDescent="0.2">
      <c r="B154" s="140">
        <f t="shared" si="2"/>
        <v>19</v>
      </c>
      <c r="C154" s="141" t="s">
        <v>83</v>
      </c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092"/>
      <c r="T154" s="132"/>
      <c r="U154" s="1092"/>
      <c r="V154" s="135">
        <v>1</v>
      </c>
      <c r="W154" s="135"/>
      <c r="X154" s="1093"/>
      <c r="Y154" s="775">
        <v>2</v>
      </c>
      <c r="Z154" s="776">
        <v>1.1919999999999999</v>
      </c>
    </row>
    <row r="155" spans="2:26" s="90" customFormat="1" ht="12.75" customHeight="1" x14ac:dyDescent="0.2">
      <c r="B155" s="140">
        <f t="shared" si="2"/>
        <v>20</v>
      </c>
      <c r="C155" s="141" t="s">
        <v>126</v>
      </c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092"/>
      <c r="T155" s="132"/>
      <c r="U155" s="1092"/>
      <c r="V155" s="135"/>
      <c r="W155" s="135"/>
      <c r="X155" s="1093"/>
      <c r="Y155" s="775">
        <v>1</v>
      </c>
      <c r="Z155" s="776">
        <v>0.47889999999999999</v>
      </c>
    </row>
    <row r="156" spans="2:26" s="90" customFormat="1" ht="12.75" customHeight="1" x14ac:dyDescent="0.2">
      <c r="B156" s="140">
        <f t="shared" si="2"/>
        <v>21</v>
      </c>
      <c r="C156" s="135" t="s">
        <v>192</v>
      </c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092"/>
      <c r="T156" s="132"/>
      <c r="U156" s="1092"/>
      <c r="V156" s="135"/>
      <c r="W156" s="135"/>
      <c r="X156" s="1093"/>
      <c r="Y156" s="775">
        <v>33</v>
      </c>
      <c r="Z156" s="776">
        <v>46.7316</v>
      </c>
    </row>
    <row r="157" spans="2:26" s="90" customFormat="1" ht="12.75" customHeight="1" x14ac:dyDescent="0.2">
      <c r="B157" s="140">
        <f t="shared" si="2"/>
        <v>22</v>
      </c>
      <c r="C157" s="135" t="s">
        <v>178</v>
      </c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092"/>
      <c r="T157" s="132"/>
      <c r="U157" s="1092"/>
      <c r="V157" s="135"/>
      <c r="W157" s="135">
        <v>1</v>
      </c>
      <c r="X157" s="1093"/>
      <c r="Y157" s="775">
        <v>12</v>
      </c>
      <c r="Z157" s="776">
        <v>14.829000000000001</v>
      </c>
    </row>
    <row r="158" spans="2:26" s="90" customFormat="1" ht="12.75" customHeight="1" x14ac:dyDescent="0.2">
      <c r="B158" s="140">
        <f t="shared" si="2"/>
        <v>23</v>
      </c>
      <c r="C158" s="135" t="s">
        <v>392</v>
      </c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092"/>
      <c r="T158" s="132"/>
      <c r="U158" s="1092"/>
      <c r="V158" s="135"/>
      <c r="W158" s="135"/>
      <c r="X158" s="1093"/>
      <c r="Y158" s="775">
        <v>2</v>
      </c>
      <c r="Z158" s="776">
        <v>0.57899999999999996</v>
      </c>
    </row>
    <row r="159" spans="2:26" s="90" customFormat="1" ht="12.75" customHeight="1" x14ac:dyDescent="0.2">
      <c r="B159" s="140">
        <f t="shared" si="2"/>
        <v>24</v>
      </c>
      <c r="C159" s="135" t="s">
        <v>138</v>
      </c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092"/>
      <c r="T159" s="132"/>
      <c r="U159" s="1092"/>
      <c r="V159" s="135"/>
      <c r="W159" s="135"/>
      <c r="X159" s="1093"/>
      <c r="Y159" s="775">
        <v>10</v>
      </c>
      <c r="Z159" s="776">
        <f>2.0402+0.1127+2.0338+3.6741</f>
        <v>7.8608000000000002</v>
      </c>
    </row>
    <row r="160" spans="2:26" s="90" customFormat="1" ht="12.75" customHeight="1" x14ac:dyDescent="0.2">
      <c r="B160" s="140">
        <f t="shared" si="2"/>
        <v>25</v>
      </c>
      <c r="C160" s="135" t="s">
        <v>182</v>
      </c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092"/>
      <c r="T160" s="132"/>
      <c r="U160" s="1092"/>
      <c r="V160" s="135"/>
      <c r="W160" s="135"/>
      <c r="X160" s="1093"/>
      <c r="Y160" s="775">
        <v>53</v>
      </c>
      <c r="Z160" s="776">
        <v>33.220999999999997</v>
      </c>
    </row>
    <row r="161" spans="2:26" s="90" customFormat="1" ht="12.75" customHeight="1" x14ac:dyDescent="0.2">
      <c r="B161" s="140">
        <f t="shared" si="2"/>
        <v>26</v>
      </c>
      <c r="C161" s="135" t="s">
        <v>183</v>
      </c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092"/>
      <c r="T161" s="132"/>
      <c r="U161" s="1092"/>
      <c r="V161" s="135"/>
      <c r="W161" s="135"/>
      <c r="X161" s="1093"/>
      <c r="Y161" s="775">
        <v>37</v>
      </c>
      <c r="Z161" s="776">
        <v>14.289</v>
      </c>
    </row>
    <row r="162" spans="2:26" s="90" customFormat="1" ht="12.75" customHeight="1" x14ac:dyDescent="0.2">
      <c r="B162" s="140">
        <f t="shared" si="2"/>
        <v>27</v>
      </c>
      <c r="C162" s="135" t="s">
        <v>393</v>
      </c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092"/>
      <c r="T162" s="132"/>
      <c r="U162" s="1092"/>
      <c r="V162" s="135"/>
      <c r="W162" s="135"/>
      <c r="X162" s="1093"/>
      <c r="Y162" s="775">
        <v>4</v>
      </c>
      <c r="Z162" s="776">
        <v>1.766</v>
      </c>
    </row>
    <row r="163" spans="2:26" s="90" customFormat="1" ht="12.75" customHeight="1" thickBot="1" x14ac:dyDescent="0.25">
      <c r="B163" s="140">
        <f t="shared" si="2"/>
        <v>28</v>
      </c>
      <c r="C163" s="135" t="s">
        <v>96</v>
      </c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092"/>
      <c r="T163" s="132"/>
      <c r="U163" s="1092"/>
      <c r="V163" s="135"/>
      <c r="W163" s="135"/>
      <c r="X163" s="1093"/>
      <c r="Y163" s="775">
        <v>15</v>
      </c>
      <c r="Z163" s="776">
        <v>1.8971</v>
      </c>
    </row>
    <row r="164" spans="2:26" s="90" customFormat="1" ht="12.75" customHeight="1" thickBot="1" x14ac:dyDescent="0.25">
      <c r="B164" s="324"/>
      <c r="C164" s="717" t="s">
        <v>259</v>
      </c>
      <c r="D164" s="717"/>
      <c r="E164" s="717"/>
      <c r="F164" s="717"/>
      <c r="G164" s="717"/>
      <c r="H164" s="717"/>
      <c r="I164" s="717"/>
      <c r="J164" s="717"/>
      <c r="K164" s="717"/>
      <c r="L164" s="717"/>
      <c r="M164" s="717"/>
      <c r="N164" s="717"/>
      <c r="O164" s="717"/>
      <c r="P164" s="717"/>
      <c r="Q164" s="717"/>
      <c r="R164" s="717"/>
      <c r="S164" s="1094"/>
      <c r="T164" s="1095"/>
      <c r="U164" s="1094"/>
      <c r="V164" s="590"/>
      <c r="W164" s="717"/>
      <c r="X164" s="706"/>
      <c r="Y164" s="765">
        <f>SUM(Y135:Y163)</f>
        <v>515</v>
      </c>
      <c r="Z164" s="766">
        <f>SUM(Z135:Z163)</f>
        <v>341.66940000000005</v>
      </c>
    </row>
    <row r="165" spans="2:26" s="90" customFormat="1" ht="12.75" customHeight="1" thickBot="1" x14ac:dyDescent="0.25">
      <c r="B165" s="324"/>
      <c r="C165" s="717" t="s">
        <v>579</v>
      </c>
      <c r="D165" s="717"/>
      <c r="E165" s="717"/>
      <c r="F165" s="717"/>
      <c r="G165" s="717"/>
      <c r="H165" s="717"/>
      <c r="I165" s="717"/>
      <c r="J165" s="717"/>
      <c r="K165" s="717"/>
      <c r="L165" s="717"/>
      <c r="M165" s="717"/>
      <c r="N165" s="717"/>
      <c r="O165" s="717"/>
      <c r="P165" s="717"/>
      <c r="Q165" s="717"/>
      <c r="R165" s="717"/>
      <c r="S165" s="1094"/>
      <c r="T165" s="1095"/>
      <c r="U165" s="1094"/>
      <c r="V165" s="590"/>
      <c r="W165" s="717"/>
      <c r="X165" s="706"/>
      <c r="Y165" s="765">
        <f>Y164+Y130</f>
        <v>2952</v>
      </c>
      <c r="Z165" s="630">
        <f>Z164+Z130</f>
        <v>1629.8718050000002</v>
      </c>
    </row>
    <row r="166" spans="2:26" s="90" customFormat="1" ht="12.75" customHeight="1" x14ac:dyDescent="0.2"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</row>
    <row r="167" spans="2:26" s="90" customFormat="1" ht="12.75" customHeight="1" x14ac:dyDescent="0.2"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</row>
    <row r="168" spans="2:26" s="90" customFormat="1" ht="12.75" customHeight="1" x14ac:dyDescent="0.2"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</row>
    <row r="169" spans="2:26" s="90" customFormat="1" ht="12.75" customHeight="1" x14ac:dyDescent="0.2"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096"/>
      <c r="Z169" s="1096"/>
    </row>
    <row r="170" spans="2:26" s="90" customFormat="1" ht="12.75" customHeight="1" x14ac:dyDescent="0.2"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</row>
    <row r="171" spans="2:26" s="90" customFormat="1" ht="12.75" customHeight="1" x14ac:dyDescent="0.2"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</row>
    <row r="172" spans="2:26" s="90" customFormat="1" ht="12.75" customHeight="1" x14ac:dyDescent="0.2"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</row>
    <row r="173" spans="2:26" s="90" customFormat="1" ht="12.75" customHeight="1" x14ac:dyDescent="0.2"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</row>
    <row r="174" spans="2:26" s="90" customFormat="1" ht="12.75" customHeight="1" x14ac:dyDescent="0.2"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</row>
    <row r="175" spans="2:26" s="90" customFormat="1" ht="12.75" customHeight="1" x14ac:dyDescent="0.2"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</row>
    <row r="176" spans="2:26" s="90" customFormat="1" ht="12.75" customHeight="1" x14ac:dyDescent="0.2"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</row>
    <row r="177" spans="2:26" s="90" customFormat="1" ht="12.75" customHeight="1" x14ac:dyDescent="0.2"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</row>
    <row r="178" spans="2:26" s="90" customFormat="1" ht="12.75" customHeight="1" x14ac:dyDescent="0.2"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</row>
    <row r="179" spans="2:26" s="90" customFormat="1" ht="12.75" customHeight="1" x14ac:dyDescent="0.2"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</row>
    <row r="180" spans="2:26" s="90" customFormat="1" ht="16.5" customHeight="1" x14ac:dyDescent="0.2"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</row>
    <row r="181" spans="2:26" s="90" customFormat="1" ht="16.5" customHeight="1" x14ac:dyDescent="0.2"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</row>
    <row r="182" spans="2:26" s="90" customFormat="1" ht="16.5" customHeight="1" x14ac:dyDescent="0.2"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</row>
    <row r="183" spans="2:26" s="90" customFormat="1" ht="16.5" customHeight="1" x14ac:dyDescent="0.2"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</row>
    <row r="184" spans="2:26" s="90" customFormat="1" ht="16.5" customHeight="1" x14ac:dyDescent="0.2"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</row>
    <row r="185" spans="2:26" s="90" customFormat="1" ht="16.5" customHeight="1" x14ac:dyDescent="0.2"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</row>
    <row r="186" spans="2:26" s="90" customFormat="1" ht="16.5" customHeight="1" x14ac:dyDescent="0.2"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</row>
    <row r="187" spans="2:26" s="90" customFormat="1" ht="16.5" customHeight="1" x14ac:dyDescent="0.2"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</row>
    <row r="188" spans="2:26" s="90" customFormat="1" ht="16.5" customHeight="1" x14ac:dyDescent="0.2"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</row>
    <row r="189" spans="2:26" s="90" customFormat="1" ht="16.5" customHeight="1" x14ac:dyDescent="0.2"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</row>
    <row r="190" spans="2:26" s="90" customFormat="1" ht="16.5" customHeight="1" x14ac:dyDescent="0.2"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</row>
    <row r="191" spans="2:26" s="90" customFormat="1" ht="16.5" customHeight="1" x14ac:dyDescent="0.2"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</row>
    <row r="192" spans="2:26" s="90" customFormat="1" ht="16.5" customHeight="1" x14ac:dyDescent="0.2"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</row>
    <row r="193" spans="2:26" s="90" customFormat="1" ht="16.5" customHeight="1" x14ac:dyDescent="0.2"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</row>
    <row r="194" spans="2:26" s="90" customFormat="1" ht="16.5" customHeight="1" x14ac:dyDescent="0.2"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</row>
    <row r="195" spans="2:26" s="90" customFormat="1" ht="16.5" customHeight="1" x14ac:dyDescent="0.2"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</row>
    <row r="196" spans="2:26" s="90" customFormat="1" ht="16.5" customHeight="1" x14ac:dyDescent="0.2"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</row>
    <row r="197" spans="2:26" s="90" customFormat="1" ht="16.5" customHeight="1" x14ac:dyDescent="0.2"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</row>
    <row r="198" spans="2:26" s="90" customFormat="1" ht="16.5" customHeight="1" x14ac:dyDescent="0.2"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</row>
    <row r="199" spans="2:26" s="90" customFormat="1" ht="16.5" customHeight="1" x14ac:dyDescent="0.2"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</row>
    <row r="200" spans="2:26" s="90" customFormat="1" ht="16.5" customHeight="1" x14ac:dyDescent="0.2"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</row>
    <row r="201" spans="2:26" s="90" customFormat="1" ht="16.5" customHeight="1" x14ac:dyDescent="0.2"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</row>
    <row r="202" spans="2:26" s="90" customFormat="1" ht="16.5" customHeight="1" x14ac:dyDescent="0.2"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</row>
    <row r="203" spans="2:26" s="90" customFormat="1" ht="16.5" customHeight="1" x14ac:dyDescent="0.2"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</row>
    <row r="204" spans="2:26" s="90" customFormat="1" ht="16.5" customHeight="1" x14ac:dyDescent="0.2"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</row>
    <row r="205" spans="2:26" s="90" customFormat="1" ht="16.5" customHeight="1" x14ac:dyDescent="0.2"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</row>
    <row r="206" spans="2:26" s="90" customFormat="1" ht="16.5" customHeight="1" x14ac:dyDescent="0.2"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</row>
    <row r="207" spans="2:26" s="90" customFormat="1" ht="16.5" customHeight="1" x14ac:dyDescent="0.2">
      <c r="X207" s="407"/>
    </row>
    <row r="208" spans="2:26" s="90" customFormat="1" ht="16.5" customHeight="1" x14ac:dyDescent="0.2">
      <c r="X208" s="407"/>
    </row>
    <row r="209" spans="24:24" s="90" customFormat="1" ht="16.5" customHeight="1" x14ac:dyDescent="0.2">
      <c r="X209" s="407"/>
    </row>
    <row r="210" spans="24:24" s="90" customFormat="1" ht="16.5" customHeight="1" x14ac:dyDescent="0.2">
      <c r="X210" s="407"/>
    </row>
    <row r="211" spans="24:24" s="90" customFormat="1" ht="16.5" customHeight="1" x14ac:dyDescent="0.2">
      <c r="X211" s="407"/>
    </row>
    <row r="212" spans="24:24" s="90" customFormat="1" ht="16.5" customHeight="1" x14ac:dyDescent="0.2">
      <c r="X212" s="407"/>
    </row>
    <row r="213" spans="24:24" s="90" customFormat="1" ht="16.5" customHeight="1" x14ac:dyDescent="0.2">
      <c r="X213" s="407"/>
    </row>
    <row r="214" spans="24:24" s="90" customFormat="1" ht="16.5" customHeight="1" x14ac:dyDescent="0.2">
      <c r="X214" s="407"/>
    </row>
    <row r="215" spans="24:24" s="90" customFormat="1" ht="16.5" customHeight="1" x14ac:dyDescent="0.2">
      <c r="X215" s="407"/>
    </row>
    <row r="216" spans="24:24" s="90" customFormat="1" x14ac:dyDescent="0.2">
      <c r="X216" s="407"/>
    </row>
    <row r="217" spans="24:24" s="90" customFormat="1" x14ac:dyDescent="0.2">
      <c r="X217" s="407"/>
    </row>
    <row r="218" spans="24:24" s="90" customFormat="1" x14ac:dyDescent="0.2">
      <c r="X218" s="407"/>
    </row>
    <row r="219" spans="24:24" s="90" customFormat="1" x14ac:dyDescent="0.2">
      <c r="X219" s="407"/>
    </row>
    <row r="220" spans="24:24" s="90" customFormat="1" x14ac:dyDescent="0.2">
      <c r="X220" s="407"/>
    </row>
    <row r="221" spans="24:24" s="90" customFormat="1" x14ac:dyDescent="0.2">
      <c r="X221" s="407"/>
    </row>
    <row r="222" spans="24:24" s="90" customFormat="1" x14ac:dyDescent="0.2">
      <c r="X222" s="407"/>
    </row>
    <row r="223" spans="24:24" s="90" customFormat="1" x14ac:dyDescent="0.2">
      <c r="X223" s="407"/>
    </row>
    <row r="224" spans="24:24" s="90" customFormat="1" x14ac:dyDescent="0.2">
      <c r="X224" s="407"/>
    </row>
    <row r="225" spans="2:27" s="90" customFormat="1" x14ac:dyDescent="0.2">
      <c r="X225" s="407"/>
    </row>
    <row r="226" spans="2:27" s="90" customFormat="1" x14ac:dyDescent="0.2">
      <c r="X226" s="407"/>
    </row>
    <row r="227" spans="2:27" s="90" customFormat="1" x14ac:dyDescent="0.2">
      <c r="X227" s="407"/>
    </row>
    <row r="228" spans="2:27" s="90" customFormat="1" x14ac:dyDescent="0.2">
      <c r="X228" s="407"/>
    </row>
    <row r="229" spans="2:27" s="90" customFormat="1" x14ac:dyDescent="0.2">
      <c r="X229" s="407"/>
    </row>
    <row r="230" spans="2:27" s="90" customFormat="1" x14ac:dyDescent="0.2">
      <c r="X230" s="407"/>
    </row>
    <row r="231" spans="2:27" s="90" customFormat="1" x14ac:dyDescent="0.2">
      <c r="X231" s="407"/>
    </row>
    <row r="232" spans="2:27" s="90" customFormat="1" x14ac:dyDescent="0.2">
      <c r="X232" s="407"/>
    </row>
    <row r="233" spans="2:27" x14ac:dyDescent="0.2"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407"/>
      <c r="Y233" s="90"/>
      <c r="Z233" s="90"/>
      <c r="AA233" s="90"/>
    </row>
    <row r="234" spans="2:27" x14ac:dyDescent="0.2"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407"/>
      <c r="Y234" s="90"/>
      <c r="Z234" s="90"/>
      <c r="AA234" s="90"/>
    </row>
    <row r="235" spans="2:27" x14ac:dyDescent="0.2"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407"/>
      <c r="Y235" s="90"/>
      <c r="Z235" s="90"/>
      <c r="AA235" s="90"/>
    </row>
    <row r="236" spans="2:27" x14ac:dyDescent="0.2"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407"/>
      <c r="Y236" s="90"/>
      <c r="Z236" s="90"/>
      <c r="AA236" s="90"/>
    </row>
    <row r="237" spans="2:27" x14ac:dyDescent="0.2"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407"/>
      <c r="Y237" s="90"/>
      <c r="Z237" s="90"/>
      <c r="AA237" s="90"/>
    </row>
    <row r="238" spans="2:27" x14ac:dyDescent="0.2"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407"/>
      <c r="Y238" s="90"/>
      <c r="Z238" s="90"/>
      <c r="AA238" s="90"/>
    </row>
    <row r="239" spans="2:27" x14ac:dyDescent="0.2"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407"/>
      <c r="Y239" s="90"/>
      <c r="Z239" s="90"/>
      <c r="AA239" s="90"/>
    </row>
    <row r="240" spans="2:27" x14ac:dyDescent="0.2"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407"/>
      <c r="Y240" s="90"/>
      <c r="Z240" s="90"/>
      <c r="AA240" s="90"/>
    </row>
    <row r="241" spans="2:27" x14ac:dyDescent="0.2"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407"/>
      <c r="Y241" s="90"/>
      <c r="Z241" s="90"/>
      <c r="AA241" s="90"/>
    </row>
    <row r="242" spans="2:27" x14ac:dyDescent="0.2"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407"/>
      <c r="Y242" s="90"/>
      <c r="Z242" s="90"/>
      <c r="AA242" s="90"/>
    </row>
    <row r="243" spans="2:27" x14ac:dyDescent="0.2"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407"/>
      <c r="Y243" s="90"/>
      <c r="Z243" s="90"/>
      <c r="AA243" s="90"/>
    </row>
  </sheetData>
  <autoFilter ref="B12:S130"/>
  <mergeCells count="34">
    <mergeCell ref="I1:P4"/>
    <mergeCell ref="T8:X8"/>
    <mergeCell ref="B9:B11"/>
    <mergeCell ref="C9:C11"/>
    <mergeCell ref="D9:D10"/>
    <mergeCell ref="E9:F10"/>
    <mergeCell ref="B6:Z6"/>
    <mergeCell ref="B7:Z7"/>
    <mergeCell ref="E132:F133"/>
    <mergeCell ref="Q9:Q11"/>
    <mergeCell ref="R9:S9"/>
    <mergeCell ref="Y9:Z10"/>
    <mergeCell ref="I10:J10"/>
    <mergeCell ref="R10:S10"/>
    <mergeCell ref="G9:G10"/>
    <mergeCell ref="H9:H11"/>
    <mergeCell ref="I9:J9"/>
    <mergeCell ref="K9:K11"/>
    <mergeCell ref="L9:N10"/>
    <mergeCell ref="O9:P10"/>
    <mergeCell ref="B132:B134"/>
    <mergeCell ref="C132:C134"/>
    <mergeCell ref="D132:D133"/>
    <mergeCell ref="G132:G133"/>
    <mergeCell ref="H132:H134"/>
    <mergeCell ref="I132:J132"/>
    <mergeCell ref="K132:K134"/>
    <mergeCell ref="L132:N133"/>
    <mergeCell ref="Q132:Q134"/>
    <mergeCell ref="R132:S132"/>
    <mergeCell ref="Y132:Z133"/>
    <mergeCell ref="I133:J133"/>
    <mergeCell ref="R133:S133"/>
    <mergeCell ref="O132:P133"/>
  </mergeCells>
  <pageMargins left="0.74803149606299213" right="0.55118110236220474" top="0.78740157480314965" bottom="0.39370078740157483" header="0.51181102362204722" footer="0.51181102362204722"/>
  <pageSetup paperSize="9" scale="64" fitToHeight="10" orientation="portrait" r:id="rId1"/>
  <headerFooter differentFirst="1">
    <firstHeader>&amp;R"Утверждаю"
Генеральный директор
 ООО"ЖКС г.Ломоносова"
_____________Соловьев И.Е.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B1:AC356"/>
  <sheetViews>
    <sheetView showWhiteSpace="0" zoomScaleNormal="100" workbookViewId="0">
      <pane xSplit="3" ySplit="7" topLeftCell="D29" activePane="bottomRight" state="frozen"/>
      <selection pane="topRight" activeCell="C1" sqref="C1"/>
      <selection pane="bottomLeft" activeCell="A13" sqref="A13"/>
      <selection pane="bottomRight" activeCell="H60" sqref="H60"/>
    </sheetView>
  </sheetViews>
  <sheetFormatPr defaultRowHeight="12.75" x14ac:dyDescent="0.2"/>
  <cols>
    <col min="2" max="2" width="4.42578125" customWidth="1"/>
    <col min="3" max="3" width="23" customWidth="1"/>
    <col min="4" max="4" width="5.7109375" customWidth="1"/>
    <col min="5" max="5" width="6.140625" customWidth="1"/>
    <col min="6" max="6" width="8" customWidth="1"/>
    <col min="7" max="7" width="11.5703125" customWidth="1"/>
    <col min="8" max="8" width="11.85546875" customWidth="1"/>
    <col min="9" max="9" width="7.7109375" customWidth="1"/>
    <col min="10" max="10" width="6.7109375" hidden="1" customWidth="1"/>
    <col min="11" max="11" width="7.7109375" hidden="1" customWidth="1"/>
    <col min="12" max="12" width="9.5703125" hidden="1" customWidth="1"/>
    <col min="13" max="13" width="6.140625" hidden="1" customWidth="1"/>
    <col min="14" max="14" width="7.42578125" hidden="1" customWidth="1"/>
    <col min="15" max="15" width="8.85546875" hidden="1" customWidth="1"/>
    <col min="16" max="16" width="7.7109375" hidden="1" customWidth="1"/>
    <col min="17" max="17" width="6.85546875" hidden="1" customWidth="1"/>
    <col min="18" max="18" width="9.140625" hidden="1" customWidth="1"/>
    <col min="19" max="19" width="7" hidden="1" customWidth="1"/>
    <col min="20" max="20" width="7.5703125" hidden="1" customWidth="1"/>
    <col min="21" max="21" width="9.140625" hidden="1" customWidth="1"/>
    <col min="22" max="22" width="10.140625" customWidth="1"/>
    <col min="23" max="23" width="12.140625" customWidth="1"/>
    <col min="24" max="24" width="8.7109375" customWidth="1"/>
    <col min="25" max="25" width="10.140625" customWidth="1"/>
    <col min="26" max="26" width="8.28515625" style="923" customWidth="1"/>
  </cols>
  <sheetData>
    <row r="1" spans="2:26" ht="15.75" x14ac:dyDescent="0.25">
      <c r="B1" s="469" t="s">
        <v>394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</row>
    <row r="2" spans="2:26" ht="16.5" thickBot="1" x14ac:dyDescent="0.3">
      <c r="B2" s="470" t="s">
        <v>395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</row>
    <row r="3" spans="2:26" ht="13.5" thickBot="1" x14ac:dyDescent="0.25">
      <c r="B3" s="471" t="s">
        <v>396</v>
      </c>
      <c r="C3" s="472" t="s">
        <v>7</v>
      </c>
      <c r="D3" s="473" t="s">
        <v>397</v>
      </c>
      <c r="E3" s="474" t="s">
        <v>346</v>
      </c>
      <c r="F3" s="475"/>
      <c r="G3" s="475"/>
      <c r="H3" s="475"/>
      <c r="I3" s="475"/>
      <c r="J3" s="476" t="s">
        <v>398</v>
      </c>
      <c r="K3" s="477"/>
      <c r="L3" s="478"/>
      <c r="M3" s="479" t="s">
        <v>399</v>
      </c>
      <c r="N3" s="479"/>
      <c r="O3" s="479"/>
      <c r="P3" s="476" t="s">
        <v>400</v>
      </c>
      <c r="Q3" s="479"/>
      <c r="R3" s="480"/>
      <c r="S3" s="479" t="s">
        <v>401</v>
      </c>
      <c r="T3" s="479"/>
      <c r="U3" s="480"/>
      <c r="V3" s="481" t="s">
        <v>402</v>
      </c>
      <c r="W3" s="482"/>
      <c r="X3" s="482"/>
      <c r="Y3" s="482"/>
      <c r="Z3" s="483"/>
    </row>
    <row r="4" spans="2:26" ht="13.5" thickBot="1" x14ac:dyDescent="0.25">
      <c r="B4" s="484"/>
      <c r="C4" s="485"/>
      <c r="D4" s="486"/>
      <c r="E4" s="487" t="s">
        <v>403</v>
      </c>
      <c r="F4" s="488"/>
      <c r="G4" s="489" t="s">
        <v>404</v>
      </c>
      <c r="H4" s="475" t="s">
        <v>405</v>
      </c>
      <c r="I4" s="475"/>
      <c r="J4" s="487" t="s">
        <v>406</v>
      </c>
      <c r="K4" s="490"/>
      <c r="L4" s="472" t="s">
        <v>407</v>
      </c>
      <c r="M4" s="491" t="s">
        <v>408</v>
      </c>
      <c r="N4" s="488"/>
      <c r="O4" s="487" t="s">
        <v>407</v>
      </c>
      <c r="P4" s="487" t="s">
        <v>408</v>
      </c>
      <c r="Q4" s="488"/>
      <c r="R4" s="472" t="s">
        <v>407</v>
      </c>
      <c r="S4" s="491" t="s">
        <v>408</v>
      </c>
      <c r="T4" s="488"/>
      <c r="U4" s="472" t="s">
        <v>407</v>
      </c>
      <c r="V4" s="492"/>
      <c r="W4" s="493"/>
      <c r="X4" s="493"/>
      <c r="Y4" s="493"/>
      <c r="Z4" s="494"/>
    </row>
    <row r="5" spans="2:26" ht="13.5" customHeight="1" thickBot="1" x14ac:dyDescent="0.25">
      <c r="B5" s="484"/>
      <c r="C5" s="485"/>
      <c r="D5" s="486"/>
      <c r="E5" s="495"/>
      <c r="F5" s="496"/>
      <c r="G5" s="497" t="s">
        <v>346</v>
      </c>
      <c r="H5" s="498" t="s">
        <v>409</v>
      </c>
      <c r="I5" s="499" t="s">
        <v>317</v>
      </c>
      <c r="J5" s="500"/>
      <c r="K5" s="501"/>
      <c r="L5" s="502"/>
      <c r="M5" s="503"/>
      <c r="N5" s="496"/>
      <c r="O5" s="495"/>
      <c r="P5" s="495"/>
      <c r="Q5" s="496"/>
      <c r="R5" s="502"/>
      <c r="S5" s="503"/>
      <c r="T5" s="496"/>
      <c r="U5" s="502"/>
      <c r="V5" s="504" t="s">
        <v>10</v>
      </c>
      <c r="W5" s="505"/>
      <c r="X5" s="504" t="s">
        <v>317</v>
      </c>
      <c r="Y5" s="506"/>
      <c r="Z5" s="1113" t="s">
        <v>410</v>
      </c>
    </row>
    <row r="6" spans="2:26" ht="21" customHeight="1" thickBot="1" x14ac:dyDescent="0.25">
      <c r="B6" s="484"/>
      <c r="C6" s="485"/>
      <c r="D6" s="507"/>
      <c r="E6" s="508" t="s">
        <v>411</v>
      </c>
      <c r="F6" s="508" t="s">
        <v>412</v>
      </c>
      <c r="G6" s="509" t="s">
        <v>413</v>
      </c>
      <c r="H6" s="509" t="s">
        <v>273</v>
      </c>
      <c r="I6" s="510" t="s">
        <v>413</v>
      </c>
      <c r="J6" s="511" t="s">
        <v>411</v>
      </c>
      <c r="K6" s="508" t="s">
        <v>412</v>
      </c>
      <c r="L6" s="512" t="s">
        <v>414</v>
      </c>
      <c r="M6" s="489" t="s">
        <v>411</v>
      </c>
      <c r="N6" s="508" t="s">
        <v>412</v>
      </c>
      <c r="O6" s="513" t="s">
        <v>414</v>
      </c>
      <c r="P6" s="508" t="s">
        <v>411</v>
      </c>
      <c r="Q6" s="508" t="s">
        <v>412</v>
      </c>
      <c r="R6" s="514" t="s">
        <v>414</v>
      </c>
      <c r="S6" s="489" t="s">
        <v>411</v>
      </c>
      <c r="T6" s="508" t="s">
        <v>412</v>
      </c>
      <c r="U6" s="514" t="s">
        <v>414</v>
      </c>
      <c r="V6" s="1349" t="s">
        <v>415</v>
      </c>
      <c r="W6" s="1350" t="s">
        <v>213</v>
      </c>
      <c r="X6" s="1349" t="s">
        <v>415</v>
      </c>
      <c r="Y6" s="1350" t="s">
        <v>213</v>
      </c>
      <c r="Z6" s="1114"/>
    </row>
    <row r="7" spans="2:26" ht="13.5" thickBot="1" x14ac:dyDescent="0.25">
      <c r="B7" s="515"/>
      <c r="C7" s="516"/>
      <c r="D7" s="517"/>
      <c r="E7" s="499"/>
      <c r="F7" s="498"/>
      <c r="G7" s="518"/>
      <c r="H7" s="519"/>
      <c r="I7" s="519"/>
      <c r="J7" s="499"/>
      <c r="K7" s="498"/>
      <c r="L7" s="520"/>
      <c r="M7" s="498"/>
      <c r="N7" s="498"/>
      <c r="O7" s="521"/>
      <c r="P7" s="499"/>
      <c r="Q7" s="498"/>
      <c r="R7" s="522"/>
      <c r="S7" s="498"/>
      <c r="T7" s="498"/>
      <c r="U7" s="522"/>
      <c r="V7" s="523"/>
      <c r="W7" s="524"/>
      <c r="X7" s="524"/>
      <c r="Y7" s="525"/>
      <c r="Z7" s="1115"/>
    </row>
    <row r="8" spans="2:26" s="90" customFormat="1" x14ac:dyDescent="0.2">
      <c r="B8" s="526">
        <v>1</v>
      </c>
      <c r="C8" s="527" t="s">
        <v>416</v>
      </c>
      <c r="D8" s="528">
        <v>4</v>
      </c>
      <c r="E8" s="529">
        <v>1</v>
      </c>
      <c r="F8" s="530">
        <v>0.14000000000000001</v>
      </c>
      <c r="G8" s="531">
        <f>F8*1057.6584</f>
        <v>148.07217600000001</v>
      </c>
      <c r="H8" s="531">
        <v>148.07217600000001</v>
      </c>
      <c r="I8" s="532"/>
      <c r="J8" s="533"/>
      <c r="K8" s="534"/>
      <c r="L8" s="535"/>
      <c r="M8" s="536"/>
      <c r="N8" s="534"/>
      <c r="O8" s="537"/>
      <c r="P8" s="529">
        <v>1</v>
      </c>
      <c r="Q8" s="530">
        <v>0.14000000000000001</v>
      </c>
      <c r="R8" s="531">
        <f>Q8*1057.6584</f>
        <v>148.07217600000001</v>
      </c>
      <c r="S8" s="538"/>
      <c r="T8" s="539"/>
      <c r="U8" s="540"/>
      <c r="V8" s="541">
        <v>1.4E-2</v>
      </c>
      <c r="W8" s="542">
        <v>124.34</v>
      </c>
      <c r="X8" s="542"/>
      <c r="Y8" s="542"/>
      <c r="Z8" s="1351">
        <v>1</v>
      </c>
    </row>
    <row r="9" spans="2:26" s="90" customFormat="1" x14ac:dyDescent="0.2">
      <c r="B9" s="543">
        <f>B8+1</f>
        <v>2</v>
      </c>
      <c r="C9" s="559" t="s">
        <v>417</v>
      </c>
      <c r="D9" s="545">
        <v>2</v>
      </c>
      <c r="E9" s="546">
        <v>2</v>
      </c>
      <c r="F9" s="547">
        <v>7.0199999999999999E-2</v>
      </c>
      <c r="G9" s="548">
        <f t="shared" ref="G9:G48" si="0">F9*1057.6584</f>
        <v>74.24761968</v>
      </c>
      <c r="H9" s="548">
        <v>74.24761968</v>
      </c>
      <c r="I9" s="549"/>
      <c r="J9" s="546">
        <v>2</v>
      </c>
      <c r="K9" s="547">
        <v>7.0199999999999999E-2</v>
      </c>
      <c r="L9" s="569">
        <f>K9*1151.6584</f>
        <v>80.846419679999997</v>
      </c>
      <c r="M9" s="550"/>
      <c r="N9" s="551"/>
      <c r="O9" s="552"/>
      <c r="P9" s="140"/>
      <c r="Q9" s="135"/>
      <c r="R9" s="553"/>
      <c r="S9" s="554"/>
      <c r="T9" s="555"/>
      <c r="U9" s="556"/>
      <c r="V9" s="557">
        <v>7.0000000000000007E-2</v>
      </c>
      <c r="W9" s="406">
        <v>58.156300000000002</v>
      </c>
      <c r="X9" s="558"/>
      <c r="Y9" s="558"/>
      <c r="Z9" s="1352">
        <v>2</v>
      </c>
    </row>
    <row r="10" spans="2:26" s="90" customFormat="1" x14ac:dyDescent="0.2">
      <c r="B10" s="543">
        <f t="shared" ref="B10:B48" si="1">B9+1</f>
        <v>3</v>
      </c>
      <c r="C10" s="559" t="s">
        <v>418</v>
      </c>
      <c r="D10" s="545">
        <v>4</v>
      </c>
      <c r="E10" s="546">
        <v>4</v>
      </c>
      <c r="F10" s="547">
        <v>0.375</v>
      </c>
      <c r="G10" s="548">
        <f t="shared" si="0"/>
        <v>396.62189999999998</v>
      </c>
      <c r="H10" s="548">
        <v>396.62189999999998</v>
      </c>
      <c r="I10" s="549"/>
      <c r="J10" s="546">
        <v>4</v>
      </c>
      <c r="K10" s="547">
        <v>0.375</v>
      </c>
      <c r="L10" s="548">
        <f>K10*1057.6584</f>
        <v>396.62189999999998</v>
      </c>
      <c r="M10" s="550"/>
      <c r="N10" s="551"/>
      <c r="O10" s="552"/>
      <c r="P10" s="140"/>
      <c r="Q10" s="135"/>
      <c r="R10" s="553"/>
      <c r="S10" s="554"/>
      <c r="T10" s="555"/>
      <c r="U10" s="560"/>
      <c r="V10" s="561">
        <f>0.094*4</f>
        <v>0.376</v>
      </c>
      <c r="W10" s="558">
        <f>133.672+145.336+177.27+142.575</f>
        <v>598.85300000000007</v>
      </c>
      <c r="X10" s="558"/>
      <c r="Y10" s="558"/>
      <c r="Z10" s="1352">
        <v>4</v>
      </c>
    </row>
    <row r="11" spans="2:26" s="90" customFormat="1" x14ac:dyDescent="0.2">
      <c r="B11" s="543">
        <f t="shared" si="1"/>
        <v>4</v>
      </c>
      <c r="C11" s="559" t="s">
        <v>419</v>
      </c>
      <c r="D11" s="545">
        <v>5</v>
      </c>
      <c r="E11" s="546">
        <v>4</v>
      </c>
      <c r="F11" s="547">
        <v>0.312</v>
      </c>
      <c r="G11" s="548">
        <f t="shared" si="0"/>
        <v>329.9894208</v>
      </c>
      <c r="H11" s="548">
        <v>329.9894208</v>
      </c>
      <c r="I11" s="549"/>
      <c r="J11" s="546">
        <v>4</v>
      </c>
      <c r="K11" s="547">
        <v>0.312</v>
      </c>
      <c r="L11" s="548">
        <f>K11*1057.6584</f>
        <v>329.9894208</v>
      </c>
      <c r="M11" s="550"/>
      <c r="N11" s="551"/>
      <c r="O11" s="552"/>
      <c r="P11" s="140"/>
      <c r="Q11" s="135"/>
      <c r="R11" s="553"/>
      <c r="S11" s="554"/>
      <c r="T11" s="555"/>
      <c r="U11" s="560"/>
      <c r="V11" s="557">
        <f>0.078+0.234</f>
        <v>0.312</v>
      </c>
      <c r="W11" s="406">
        <v>412.11799999999999</v>
      </c>
      <c r="X11" s="558"/>
      <c r="Y11" s="558"/>
      <c r="Z11" s="1352">
        <v>4</v>
      </c>
    </row>
    <row r="12" spans="2:26" s="90" customFormat="1" x14ac:dyDescent="0.2">
      <c r="B12" s="543">
        <f t="shared" si="1"/>
        <v>5</v>
      </c>
      <c r="C12" s="559" t="s">
        <v>420</v>
      </c>
      <c r="D12" s="545">
        <v>5</v>
      </c>
      <c r="E12" s="546">
        <v>5</v>
      </c>
      <c r="F12" s="547">
        <v>0.56899999999999995</v>
      </c>
      <c r="G12" s="548">
        <f t="shared" si="0"/>
        <v>601.80762959999993</v>
      </c>
      <c r="H12" s="548">
        <v>601.80762959999993</v>
      </c>
      <c r="I12" s="549"/>
      <c r="J12" s="546">
        <v>5</v>
      </c>
      <c r="K12" s="547">
        <v>0.56899999999999995</v>
      </c>
      <c r="L12" s="548">
        <f>K12*1057.6584</f>
        <v>601.80762959999993</v>
      </c>
      <c r="M12" s="550"/>
      <c r="N12" s="551"/>
      <c r="O12" s="552"/>
      <c r="P12" s="140"/>
      <c r="Q12" s="135"/>
      <c r="R12" s="553"/>
      <c r="S12" s="554"/>
      <c r="T12" s="555"/>
      <c r="U12" s="556"/>
      <c r="V12" s="557">
        <f>0.0968+0.1937+0.194+0.084+0.0004</f>
        <v>0.56889999999999996</v>
      </c>
      <c r="W12" s="406">
        <f>424.758</f>
        <v>424.75799999999998</v>
      </c>
      <c r="X12" s="558"/>
      <c r="Y12" s="558"/>
      <c r="Z12" s="1352">
        <v>5</v>
      </c>
    </row>
    <row r="13" spans="2:26" s="90" customFormat="1" x14ac:dyDescent="0.2">
      <c r="B13" s="543">
        <f t="shared" si="1"/>
        <v>6</v>
      </c>
      <c r="C13" s="559" t="s">
        <v>421</v>
      </c>
      <c r="D13" s="545">
        <v>5</v>
      </c>
      <c r="E13" s="546">
        <v>4</v>
      </c>
      <c r="F13" s="547">
        <v>0.30559999999999998</v>
      </c>
      <c r="G13" s="548">
        <f t="shared" si="0"/>
        <v>323.22040704</v>
      </c>
      <c r="H13" s="548">
        <v>323.22040704</v>
      </c>
      <c r="I13" s="549"/>
      <c r="J13" s="140"/>
      <c r="K13" s="135"/>
      <c r="L13" s="560"/>
      <c r="M13" s="550"/>
      <c r="N13" s="551"/>
      <c r="O13" s="552"/>
      <c r="P13" s="546">
        <v>4</v>
      </c>
      <c r="Q13" s="547">
        <v>0.30559999999999998</v>
      </c>
      <c r="R13" s="548">
        <f>Q13*1057.6584</f>
        <v>323.22040704</v>
      </c>
      <c r="S13" s="554"/>
      <c r="T13" s="555"/>
      <c r="U13" s="556"/>
      <c r="V13" s="561">
        <v>0.30599999999999999</v>
      </c>
      <c r="W13" s="558">
        <v>273.53500000000003</v>
      </c>
      <c r="X13" s="558"/>
      <c r="Y13" s="558"/>
      <c r="Z13" s="1352">
        <v>4</v>
      </c>
    </row>
    <row r="14" spans="2:26" s="90" customFormat="1" x14ac:dyDescent="0.2">
      <c r="B14" s="543">
        <f t="shared" si="1"/>
        <v>7</v>
      </c>
      <c r="C14" s="544" t="s">
        <v>422</v>
      </c>
      <c r="D14" s="545">
        <v>2</v>
      </c>
      <c r="E14" s="546">
        <v>2</v>
      </c>
      <c r="F14" s="547">
        <v>7.0300000000000001E-2</v>
      </c>
      <c r="G14" s="548">
        <f t="shared" si="0"/>
        <v>74.353385520000003</v>
      </c>
      <c r="H14" s="548">
        <v>74.353385520000003</v>
      </c>
      <c r="I14" s="549"/>
      <c r="J14" s="546">
        <v>2</v>
      </c>
      <c r="K14" s="547">
        <v>7.0300000000000001E-2</v>
      </c>
      <c r="L14" s="548">
        <f>K14*1057.6584</f>
        <v>74.353385520000003</v>
      </c>
      <c r="M14" s="550"/>
      <c r="N14" s="551"/>
      <c r="O14" s="552"/>
      <c r="P14" s="140"/>
      <c r="Q14" s="135"/>
      <c r="R14" s="553"/>
      <c r="S14" s="554"/>
      <c r="T14" s="555"/>
      <c r="U14" s="556"/>
      <c r="V14" s="557">
        <v>7.0300000000000001E-2</v>
      </c>
      <c r="W14" s="558">
        <v>62.436</v>
      </c>
      <c r="X14" s="558"/>
      <c r="Y14" s="558"/>
      <c r="Z14" s="1352">
        <v>2</v>
      </c>
    </row>
    <row r="15" spans="2:26" s="90" customFormat="1" x14ac:dyDescent="0.2">
      <c r="B15" s="543">
        <f t="shared" si="1"/>
        <v>8</v>
      </c>
      <c r="C15" s="544" t="s">
        <v>423</v>
      </c>
      <c r="D15" s="545">
        <v>2</v>
      </c>
      <c r="E15" s="546">
        <v>2</v>
      </c>
      <c r="F15" s="547">
        <v>5.0500000000000003E-2</v>
      </c>
      <c r="G15" s="548">
        <f t="shared" si="0"/>
        <v>53.411749200000003</v>
      </c>
      <c r="H15" s="548">
        <v>53.411749200000003</v>
      </c>
      <c r="I15" s="549"/>
      <c r="J15" s="546">
        <v>2</v>
      </c>
      <c r="K15" s="547">
        <v>5.0500000000000003E-2</v>
      </c>
      <c r="L15" s="548">
        <f>K15*1057.6584</f>
        <v>53.411749200000003</v>
      </c>
      <c r="M15" s="550"/>
      <c r="N15" s="551"/>
      <c r="O15" s="552"/>
      <c r="P15" s="140"/>
      <c r="Q15" s="135"/>
      <c r="R15" s="553"/>
      <c r="S15" s="554"/>
      <c r="T15" s="555"/>
      <c r="U15" s="556"/>
      <c r="V15" s="557">
        <v>5.0500000000000003E-2</v>
      </c>
      <c r="W15" s="558">
        <v>44.850999999999999</v>
      </c>
      <c r="X15" s="558"/>
      <c r="Y15" s="558"/>
      <c r="Z15" s="1352">
        <v>2</v>
      </c>
    </row>
    <row r="16" spans="2:26" s="90" customFormat="1" x14ac:dyDescent="0.2">
      <c r="B16" s="543">
        <f t="shared" si="1"/>
        <v>9</v>
      </c>
      <c r="C16" s="559" t="s">
        <v>424</v>
      </c>
      <c r="D16" s="545">
        <v>3</v>
      </c>
      <c r="E16" s="546">
        <v>1</v>
      </c>
      <c r="F16" s="547">
        <v>9.5000000000000001E-2</v>
      </c>
      <c r="G16" s="548">
        <f t="shared" si="0"/>
        <v>100.477548</v>
      </c>
      <c r="H16" s="548">
        <v>100.477548</v>
      </c>
      <c r="I16" s="549"/>
      <c r="J16" s="140"/>
      <c r="K16" s="135"/>
      <c r="L16" s="560"/>
      <c r="M16" s="550"/>
      <c r="N16" s="551"/>
      <c r="O16" s="552"/>
      <c r="P16" s="546">
        <v>1</v>
      </c>
      <c r="Q16" s="547">
        <v>9.5000000000000001E-2</v>
      </c>
      <c r="R16" s="548">
        <f>Q16*1057.6584</f>
        <v>100.477548</v>
      </c>
      <c r="S16" s="554"/>
      <c r="T16" s="555"/>
      <c r="U16" s="560"/>
      <c r="V16" s="561">
        <v>0.106</v>
      </c>
      <c r="W16" s="558">
        <v>88.869</v>
      </c>
      <c r="X16" s="558"/>
      <c r="Y16" s="558"/>
      <c r="Z16" s="1352">
        <v>1</v>
      </c>
    </row>
    <row r="17" spans="2:26" s="90" customFormat="1" x14ac:dyDescent="0.2">
      <c r="B17" s="543">
        <f t="shared" si="1"/>
        <v>10</v>
      </c>
      <c r="C17" s="559" t="s">
        <v>425</v>
      </c>
      <c r="D17" s="545">
        <v>3</v>
      </c>
      <c r="E17" s="546">
        <v>2</v>
      </c>
      <c r="F17" s="547">
        <v>0.12</v>
      </c>
      <c r="G17" s="548">
        <f t="shared" si="0"/>
        <v>126.91900800000001</v>
      </c>
      <c r="H17" s="548">
        <v>126.91900800000001</v>
      </c>
      <c r="I17" s="549"/>
      <c r="J17" s="140"/>
      <c r="K17" s="135"/>
      <c r="L17" s="560"/>
      <c r="M17" s="550"/>
      <c r="N17" s="551"/>
      <c r="O17" s="552"/>
      <c r="P17" s="546">
        <v>2</v>
      </c>
      <c r="Q17" s="547">
        <v>0.12</v>
      </c>
      <c r="R17" s="548">
        <f>Q17*1057.6584</f>
        <v>126.91900800000001</v>
      </c>
      <c r="S17" s="554"/>
      <c r="T17" s="555"/>
      <c r="U17" s="560"/>
      <c r="V17" s="561">
        <v>0.113</v>
      </c>
      <c r="W17" s="558">
        <v>190.70699999999999</v>
      </c>
      <c r="X17" s="558"/>
      <c r="Y17" s="558"/>
      <c r="Z17" s="1352">
        <v>2</v>
      </c>
    </row>
    <row r="18" spans="2:26" s="90" customFormat="1" x14ac:dyDescent="0.2">
      <c r="B18" s="543">
        <f t="shared" si="1"/>
        <v>11</v>
      </c>
      <c r="C18" s="559" t="s">
        <v>426</v>
      </c>
      <c r="D18" s="545">
        <v>3</v>
      </c>
      <c r="E18" s="546">
        <v>3</v>
      </c>
      <c r="F18" s="547">
        <v>0.14799999999999999</v>
      </c>
      <c r="G18" s="548">
        <f t="shared" si="0"/>
        <v>156.53344319999999</v>
      </c>
      <c r="H18" s="548">
        <v>156.53344319999999</v>
      </c>
      <c r="I18" s="549"/>
      <c r="J18" s="140"/>
      <c r="K18" s="135"/>
      <c r="L18" s="560"/>
      <c r="M18" s="550"/>
      <c r="N18" s="551"/>
      <c r="O18" s="552"/>
      <c r="P18" s="546">
        <v>3</v>
      </c>
      <c r="Q18" s="547">
        <v>0.14799999999999999</v>
      </c>
      <c r="R18" s="548">
        <f>Q18*1057.6584</f>
        <v>156.53344319999999</v>
      </c>
      <c r="S18" s="554"/>
      <c r="T18" s="555"/>
      <c r="U18" s="560"/>
      <c r="V18" s="561">
        <v>0.14799999999999999</v>
      </c>
      <c r="W18" s="558">
        <v>131.44499999999999</v>
      </c>
      <c r="X18" s="558"/>
      <c r="Y18" s="558"/>
      <c r="Z18" s="1352">
        <v>3</v>
      </c>
    </row>
    <row r="19" spans="2:26" s="90" customFormat="1" x14ac:dyDescent="0.2">
      <c r="B19" s="543">
        <f t="shared" si="1"/>
        <v>12</v>
      </c>
      <c r="C19" s="559" t="s">
        <v>427</v>
      </c>
      <c r="D19" s="545">
        <v>2</v>
      </c>
      <c r="E19" s="546">
        <v>1</v>
      </c>
      <c r="F19" s="547">
        <v>3.4299999999999997E-2</v>
      </c>
      <c r="G19" s="548">
        <f t="shared" si="0"/>
        <v>36.277683119999999</v>
      </c>
      <c r="H19" s="548">
        <v>36.277683119999999</v>
      </c>
      <c r="I19" s="549"/>
      <c r="J19" s="140"/>
      <c r="K19" s="135"/>
      <c r="L19" s="560"/>
      <c r="M19" s="550"/>
      <c r="N19" s="551"/>
      <c r="O19" s="552"/>
      <c r="P19" s="546">
        <v>1</v>
      </c>
      <c r="Q19" s="547">
        <v>3.4299999999999997E-2</v>
      </c>
      <c r="R19" s="548">
        <f>Q19*1057.6584</f>
        <v>36.277683119999999</v>
      </c>
      <c r="S19" s="554"/>
      <c r="T19" s="555"/>
      <c r="U19" s="560"/>
      <c r="V19" s="557">
        <v>3.4299999999999997E-2</v>
      </c>
      <c r="W19" s="558">
        <v>30.463000000000001</v>
      </c>
      <c r="X19" s="558"/>
      <c r="Y19" s="558"/>
      <c r="Z19" s="1352">
        <v>1</v>
      </c>
    </row>
    <row r="20" spans="2:26" s="90" customFormat="1" x14ac:dyDescent="0.2">
      <c r="B20" s="543">
        <f t="shared" si="1"/>
        <v>13</v>
      </c>
      <c r="C20" s="559" t="s">
        <v>428</v>
      </c>
      <c r="D20" s="545">
        <v>4</v>
      </c>
      <c r="E20" s="546">
        <v>3</v>
      </c>
      <c r="F20" s="547">
        <v>0.27100000000000002</v>
      </c>
      <c r="G20" s="548">
        <f t="shared" si="0"/>
        <v>286.62542640000004</v>
      </c>
      <c r="H20" s="548">
        <v>286.62542640000004</v>
      </c>
      <c r="I20" s="549"/>
      <c r="J20" s="140"/>
      <c r="K20" s="135"/>
      <c r="L20" s="560"/>
      <c r="M20" s="550"/>
      <c r="N20" s="551"/>
      <c r="O20" s="552"/>
      <c r="P20" s="546">
        <v>3</v>
      </c>
      <c r="Q20" s="547">
        <v>0.27100000000000002</v>
      </c>
      <c r="R20" s="548">
        <f>Q20*1057.6584</f>
        <v>286.62542640000004</v>
      </c>
      <c r="S20" s="554"/>
      <c r="T20" s="555"/>
      <c r="U20" s="560"/>
      <c r="V20" s="561">
        <v>0.23899999999999999</v>
      </c>
      <c r="W20" s="558">
        <v>251.01499999999999</v>
      </c>
      <c r="X20" s="558"/>
      <c r="Y20" s="558"/>
      <c r="Z20" s="1352">
        <v>3</v>
      </c>
    </row>
    <row r="21" spans="2:26" s="90" customFormat="1" x14ac:dyDescent="0.2">
      <c r="B21" s="543">
        <f t="shared" si="1"/>
        <v>14</v>
      </c>
      <c r="C21" s="559" t="s">
        <v>429</v>
      </c>
      <c r="D21" s="545">
        <v>5</v>
      </c>
      <c r="E21" s="546">
        <v>4</v>
      </c>
      <c r="F21" s="547">
        <v>0.28199999999999997</v>
      </c>
      <c r="G21" s="548">
        <f t="shared" si="0"/>
        <v>298.25966879999999</v>
      </c>
      <c r="H21" s="548">
        <v>298.25966879999999</v>
      </c>
      <c r="I21" s="549"/>
      <c r="J21" s="546">
        <v>4</v>
      </c>
      <c r="K21" s="547">
        <v>0.28199999999999997</v>
      </c>
      <c r="L21" s="548">
        <f>K21*1057.6584</f>
        <v>298.25966879999999</v>
      </c>
      <c r="M21" s="550"/>
      <c r="N21" s="551"/>
      <c r="O21" s="552"/>
      <c r="P21" s="140"/>
      <c r="Q21" s="135"/>
      <c r="R21" s="553"/>
      <c r="S21" s="562"/>
      <c r="T21" s="547"/>
      <c r="U21" s="548"/>
      <c r="V21" s="561">
        <f>0.141+0.141</f>
        <v>0.28199999999999997</v>
      </c>
      <c r="W21" s="558">
        <v>628.70699999999999</v>
      </c>
      <c r="X21" s="558"/>
      <c r="Y21" s="558"/>
      <c r="Z21" s="1352">
        <v>4</v>
      </c>
    </row>
    <row r="22" spans="2:26" s="90" customFormat="1" x14ac:dyDescent="0.2">
      <c r="B22" s="543">
        <f t="shared" si="1"/>
        <v>15</v>
      </c>
      <c r="C22" s="559" t="s">
        <v>430</v>
      </c>
      <c r="D22" s="545">
        <v>3</v>
      </c>
      <c r="E22" s="546">
        <v>1</v>
      </c>
      <c r="F22" s="547">
        <v>4.9200000000000001E-2</v>
      </c>
      <c r="G22" s="548">
        <f t="shared" si="0"/>
        <v>52.036793280000005</v>
      </c>
      <c r="H22" s="548">
        <v>46.536969599999999</v>
      </c>
      <c r="I22" s="549"/>
      <c r="J22" s="140"/>
      <c r="K22" s="135"/>
      <c r="L22" s="560"/>
      <c r="M22" s="550"/>
      <c r="N22" s="551"/>
      <c r="O22" s="552"/>
      <c r="P22" s="140"/>
      <c r="Q22" s="135"/>
      <c r="R22" s="553"/>
      <c r="S22" s="562">
        <v>1</v>
      </c>
      <c r="T22" s="547">
        <v>4.3999999999999997E-2</v>
      </c>
      <c r="U22" s="548">
        <f>T22*1057.6584</f>
        <v>46.536969599999999</v>
      </c>
      <c r="V22" s="557">
        <v>4.9000000000000002E-2</v>
      </c>
      <c r="W22" s="406">
        <v>58.008000000000003</v>
      </c>
      <c r="X22" s="558"/>
      <c r="Y22" s="558"/>
      <c r="Z22" s="1352">
        <v>1</v>
      </c>
    </row>
    <row r="23" spans="2:26" s="90" customFormat="1" x14ac:dyDescent="0.2">
      <c r="B23" s="543">
        <f t="shared" si="1"/>
        <v>16</v>
      </c>
      <c r="C23" s="559" t="s">
        <v>431</v>
      </c>
      <c r="D23" s="545">
        <v>2</v>
      </c>
      <c r="E23" s="546">
        <v>1</v>
      </c>
      <c r="F23" s="547">
        <v>2.4E-2</v>
      </c>
      <c r="G23" s="548">
        <f t="shared" si="0"/>
        <v>25.383801600000002</v>
      </c>
      <c r="H23" s="548">
        <v>25.383801600000002</v>
      </c>
      <c r="I23" s="549"/>
      <c r="J23" s="140"/>
      <c r="K23" s="135"/>
      <c r="L23" s="560"/>
      <c r="M23" s="550"/>
      <c r="N23" s="551"/>
      <c r="O23" s="552"/>
      <c r="P23" s="140"/>
      <c r="Q23" s="135"/>
      <c r="R23" s="553"/>
      <c r="S23" s="562">
        <v>1</v>
      </c>
      <c r="T23" s="547">
        <v>2.4E-2</v>
      </c>
      <c r="U23" s="548">
        <f>T23*1057.6584</f>
        <v>25.383801600000002</v>
      </c>
      <c r="V23" s="557">
        <v>2.4E-2</v>
      </c>
      <c r="W23" s="406">
        <v>21.315000000000001</v>
      </c>
      <c r="X23" s="558"/>
      <c r="Y23" s="558"/>
      <c r="Z23" s="1352">
        <v>1</v>
      </c>
    </row>
    <row r="24" spans="2:26" s="90" customFormat="1" x14ac:dyDescent="0.2">
      <c r="B24" s="543">
        <f t="shared" si="1"/>
        <v>17</v>
      </c>
      <c r="C24" s="559" t="s">
        <v>432</v>
      </c>
      <c r="D24" s="545">
        <v>5</v>
      </c>
      <c r="E24" s="546">
        <v>4</v>
      </c>
      <c r="F24" s="547">
        <v>0.24099999999999999</v>
      </c>
      <c r="G24" s="548">
        <f t="shared" si="0"/>
        <v>254.89567439999999</v>
      </c>
      <c r="H24" s="548">
        <v>254.89567439999999</v>
      </c>
      <c r="I24" s="549"/>
      <c r="J24" s="140"/>
      <c r="K24" s="135"/>
      <c r="L24" s="560"/>
      <c r="M24" s="550"/>
      <c r="N24" s="551"/>
      <c r="O24" s="552"/>
      <c r="P24" s="140"/>
      <c r="Q24" s="135"/>
      <c r="R24" s="553"/>
      <c r="S24" s="562">
        <v>4</v>
      </c>
      <c r="T24" s="547">
        <v>0.24099999999999999</v>
      </c>
      <c r="U24" s="548">
        <f>T24*1057.6584</f>
        <v>254.89567439999999</v>
      </c>
      <c r="V24" s="557">
        <f>0.245</f>
        <v>0.245</v>
      </c>
      <c r="W24" s="406">
        <f>176.467+275.872</f>
        <v>452.33900000000006</v>
      </c>
      <c r="X24" s="558"/>
      <c r="Y24" s="558"/>
      <c r="Z24" s="1352">
        <v>4</v>
      </c>
    </row>
    <row r="25" spans="2:26" s="90" customFormat="1" x14ac:dyDescent="0.2">
      <c r="B25" s="543">
        <f t="shared" si="1"/>
        <v>18</v>
      </c>
      <c r="C25" s="559" t="s">
        <v>433</v>
      </c>
      <c r="D25" s="545">
        <v>5</v>
      </c>
      <c r="E25" s="546">
        <v>4</v>
      </c>
      <c r="F25" s="547">
        <v>0.28000000000000003</v>
      </c>
      <c r="G25" s="548">
        <f t="shared" si="0"/>
        <v>296.14435200000003</v>
      </c>
      <c r="H25" s="548">
        <v>296.14435200000003</v>
      </c>
      <c r="I25" s="549"/>
      <c r="J25" s="546">
        <v>4</v>
      </c>
      <c r="K25" s="547">
        <v>0.28000000000000003</v>
      </c>
      <c r="L25" s="548">
        <f>K25*1057.6584</f>
        <v>296.14435200000003</v>
      </c>
      <c r="M25" s="550"/>
      <c r="N25" s="551"/>
      <c r="O25" s="552"/>
      <c r="P25" s="140"/>
      <c r="Q25" s="135"/>
      <c r="R25" s="553"/>
      <c r="S25" s="554"/>
      <c r="T25" s="555"/>
      <c r="U25" s="560"/>
      <c r="V25" s="557">
        <f>0.14+0.07+0.07+0.003</f>
        <v>0.28300000000000003</v>
      </c>
      <c r="W25" s="406">
        <f>443.436</f>
        <v>443.43599999999998</v>
      </c>
      <c r="X25" s="558"/>
      <c r="Y25" s="558"/>
      <c r="Z25" s="1352">
        <v>4</v>
      </c>
    </row>
    <row r="26" spans="2:26" s="90" customFormat="1" x14ac:dyDescent="0.2">
      <c r="B26" s="543">
        <f t="shared" si="1"/>
        <v>19</v>
      </c>
      <c r="C26" s="559" t="s">
        <v>434</v>
      </c>
      <c r="D26" s="545">
        <v>4</v>
      </c>
      <c r="E26" s="546">
        <v>4</v>
      </c>
      <c r="F26" s="547">
        <v>0.39800000000000002</v>
      </c>
      <c r="G26" s="548">
        <f t="shared" si="0"/>
        <v>420.94804320000003</v>
      </c>
      <c r="H26" s="548">
        <v>420.94804320000003</v>
      </c>
      <c r="I26" s="549"/>
      <c r="J26" s="140"/>
      <c r="K26" s="135"/>
      <c r="L26" s="560"/>
      <c r="M26" s="550"/>
      <c r="N26" s="551"/>
      <c r="O26" s="552"/>
      <c r="P26" s="546">
        <v>4</v>
      </c>
      <c r="Q26" s="547">
        <v>0.39800000000000002</v>
      </c>
      <c r="R26" s="548">
        <f>Q26*1057.6584</f>
        <v>420.94804320000003</v>
      </c>
      <c r="S26" s="554"/>
      <c r="T26" s="555"/>
      <c r="U26" s="560"/>
      <c r="V26" s="561">
        <v>0.39300000000000002</v>
      </c>
      <c r="W26" s="558">
        <v>353.92399999999998</v>
      </c>
      <c r="X26" s="558"/>
      <c r="Y26" s="558"/>
      <c r="Z26" s="1352">
        <v>4</v>
      </c>
    </row>
    <row r="27" spans="2:26" s="90" customFormat="1" x14ac:dyDescent="0.2">
      <c r="B27" s="543">
        <f t="shared" si="1"/>
        <v>20</v>
      </c>
      <c r="C27" s="559" t="s">
        <v>435</v>
      </c>
      <c r="D27" s="545">
        <v>4</v>
      </c>
      <c r="E27" s="546">
        <v>4</v>
      </c>
      <c r="F27" s="547">
        <v>0.38400000000000001</v>
      </c>
      <c r="G27" s="548">
        <f t="shared" si="0"/>
        <v>406.14082560000003</v>
      </c>
      <c r="H27" s="548">
        <v>406.14082560000003</v>
      </c>
      <c r="I27" s="563"/>
      <c r="J27" s="140"/>
      <c r="K27" s="135"/>
      <c r="L27" s="564"/>
      <c r="M27" s="550"/>
      <c r="N27" s="551"/>
      <c r="O27" s="565"/>
      <c r="P27" s="546">
        <v>4</v>
      </c>
      <c r="Q27" s="547">
        <v>0.38400000000000001</v>
      </c>
      <c r="R27" s="548">
        <f>Q27*1057.6584</f>
        <v>406.14082560000003</v>
      </c>
      <c r="S27" s="134"/>
      <c r="T27" s="135"/>
      <c r="U27" s="564"/>
      <c r="V27" s="1116">
        <v>0.38400000000000001</v>
      </c>
      <c r="W27" s="566">
        <v>314.48399999999998</v>
      </c>
      <c r="X27" s="97"/>
      <c r="Y27" s="97"/>
      <c r="Z27" s="1353">
        <v>4</v>
      </c>
    </row>
    <row r="28" spans="2:26" s="90" customFormat="1" x14ac:dyDescent="0.2">
      <c r="B28" s="543">
        <f t="shared" si="1"/>
        <v>21</v>
      </c>
      <c r="C28" s="559" t="s">
        <v>436</v>
      </c>
      <c r="D28" s="545">
        <v>5</v>
      </c>
      <c r="E28" s="546">
        <v>2</v>
      </c>
      <c r="F28" s="547">
        <v>0.23649999999999999</v>
      </c>
      <c r="G28" s="548">
        <f t="shared" si="0"/>
        <v>250.1362116</v>
      </c>
      <c r="H28" s="548">
        <v>250.1362116</v>
      </c>
      <c r="I28" s="563"/>
      <c r="J28" s="140"/>
      <c r="K28" s="135"/>
      <c r="L28" s="564"/>
      <c r="M28" s="550"/>
      <c r="N28" s="551"/>
      <c r="O28" s="565"/>
      <c r="P28" s="546">
        <v>2</v>
      </c>
      <c r="Q28" s="547">
        <v>0.23649999999999999</v>
      </c>
      <c r="R28" s="548">
        <f>Q28*1057.6584</f>
        <v>250.1362116</v>
      </c>
      <c r="S28" s="134"/>
      <c r="T28" s="135"/>
      <c r="U28" s="564"/>
      <c r="V28" s="1116">
        <v>0.23649999999999999</v>
      </c>
      <c r="W28" s="566">
        <v>210.04599999999999</v>
      </c>
      <c r="X28" s="97"/>
      <c r="Y28" s="97"/>
      <c r="Z28" s="1353">
        <v>2</v>
      </c>
    </row>
    <row r="29" spans="2:26" s="90" customFormat="1" x14ac:dyDescent="0.2">
      <c r="B29" s="543">
        <f t="shared" si="1"/>
        <v>22</v>
      </c>
      <c r="C29" s="559" t="s">
        <v>437</v>
      </c>
      <c r="D29" s="545">
        <v>4</v>
      </c>
      <c r="E29" s="546">
        <v>4</v>
      </c>
      <c r="F29" s="547">
        <v>0.42399999999999999</v>
      </c>
      <c r="G29" s="548">
        <f t="shared" si="0"/>
        <v>448.44716160000002</v>
      </c>
      <c r="H29" s="548">
        <v>448.44716160000002</v>
      </c>
      <c r="I29" s="549"/>
      <c r="J29" s="140"/>
      <c r="K29" s="135"/>
      <c r="L29" s="560"/>
      <c r="M29" s="550"/>
      <c r="N29" s="551"/>
      <c r="O29" s="552"/>
      <c r="P29" s="546">
        <v>4</v>
      </c>
      <c r="Q29" s="547">
        <v>0.42399999999999999</v>
      </c>
      <c r="R29" s="548">
        <f>Q29*1057.6584</f>
        <v>448.44716160000002</v>
      </c>
      <c r="S29" s="554"/>
      <c r="T29" s="555"/>
      <c r="U29" s="560"/>
      <c r="V29" s="1116">
        <v>0.42399999999999999</v>
      </c>
      <c r="W29" s="566">
        <v>289.45</v>
      </c>
      <c r="X29" s="97"/>
      <c r="Y29" s="97"/>
      <c r="Z29" s="1353">
        <v>4</v>
      </c>
    </row>
    <row r="30" spans="2:26" s="90" customFormat="1" x14ac:dyDescent="0.2">
      <c r="B30" s="543">
        <f t="shared" si="1"/>
        <v>23</v>
      </c>
      <c r="C30" s="559" t="s">
        <v>438</v>
      </c>
      <c r="D30" s="545">
        <v>5</v>
      </c>
      <c r="E30" s="546">
        <v>2</v>
      </c>
      <c r="F30" s="547">
        <v>0.10580000000000001</v>
      </c>
      <c r="G30" s="548">
        <f t="shared" si="0"/>
        <v>111.90025872000001</v>
      </c>
      <c r="H30" s="548">
        <v>111.90025872000001</v>
      </c>
      <c r="I30" s="549"/>
      <c r="J30" s="140"/>
      <c r="K30" s="135"/>
      <c r="L30" s="560"/>
      <c r="M30" s="550"/>
      <c r="N30" s="551"/>
      <c r="O30" s="552"/>
      <c r="P30" s="546">
        <v>2</v>
      </c>
      <c r="Q30" s="547">
        <v>0.10580000000000001</v>
      </c>
      <c r="R30" s="548">
        <f>Q30*1057.6584</f>
        <v>111.90025872000001</v>
      </c>
      <c r="S30" s="554"/>
      <c r="T30" s="555"/>
      <c r="U30" s="560"/>
      <c r="V30" s="1116">
        <v>0.10580000000000001</v>
      </c>
      <c r="W30" s="566">
        <v>93.965999999999994</v>
      </c>
      <c r="X30" s="97"/>
      <c r="Y30" s="97"/>
      <c r="Z30" s="1353">
        <v>2</v>
      </c>
    </row>
    <row r="31" spans="2:26" s="90" customFormat="1" x14ac:dyDescent="0.2">
      <c r="B31" s="543">
        <f t="shared" si="1"/>
        <v>24</v>
      </c>
      <c r="C31" s="544" t="s">
        <v>439</v>
      </c>
      <c r="D31" s="545">
        <v>3</v>
      </c>
      <c r="E31" s="546">
        <v>4</v>
      </c>
      <c r="F31" s="547">
        <v>0.187</v>
      </c>
      <c r="G31" s="548">
        <f t="shared" si="0"/>
        <v>197.7821208</v>
      </c>
      <c r="H31" s="548">
        <v>197.7821208</v>
      </c>
      <c r="I31" s="567"/>
      <c r="J31" s="568"/>
      <c r="K31" s="551"/>
      <c r="L31" s="556"/>
      <c r="M31" s="134"/>
      <c r="N31" s="135"/>
      <c r="O31" s="552"/>
      <c r="P31" s="568"/>
      <c r="Q31" s="551"/>
      <c r="R31" s="569"/>
      <c r="S31" s="562">
        <v>4</v>
      </c>
      <c r="T31" s="547">
        <v>0.187</v>
      </c>
      <c r="U31" s="548">
        <f>T31*1057.6584</f>
        <v>197.7821208</v>
      </c>
      <c r="V31" s="1116">
        <v>0.187</v>
      </c>
      <c r="W31" s="566">
        <v>166.083</v>
      </c>
      <c r="X31" s="97"/>
      <c r="Y31" s="97"/>
      <c r="Z31" s="1353">
        <v>4</v>
      </c>
    </row>
    <row r="32" spans="2:26" s="90" customFormat="1" x14ac:dyDescent="0.2">
      <c r="B32" s="543">
        <f t="shared" si="1"/>
        <v>25</v>
      </c>
      <c r="C32" s="544" t="s">
        <v>440</v>
      </c>
      <c r="D32" s="545">
        <v>2</v>
      </c>
      <c r="E32" s="546">
        <v>2</v>
      </c>
      <c r="F32" s="547">
        <v>4.7800000000000002E-2</v>
      </c>
      <c r="G32" s="548">
        <f t="shared" si="0"/>
        <v>50.556071520000003</v>
      </c>
      <c r="H32" s="548">
        <v>50.556071520000003</v>
      </c>
      <c r="I32" s="567"/>
      <c r="J32" s="568"/>
      <c r="K32" s="551"/>
      <c r="L32" s="556"/>
      <c r="M32" s="134"/>
      <c r="N32" s="135"/>
      <c r="O32" s="552"/>
      <c r="P32" s="140"/>
      <c r="Q32" s="135"/>
      <c r="R32" s="569"/>
      <c r="S32" s="562">
        <v>2</v>
      </c>
      <c r="T32" s="547">
        <v>4.7800000000000002E-2</v>
      </c>
      <c r="U32" s="548">
        <f>T32*1057.6584</f>
        <v>50.556071520000003</v>
      </c>
      <c r="V32" s="1116">
        <v>4.7800000000000002E-2</v>
      </c>
      <c r="W32" s="566">
        <v>42.453000000000003</v>
      </c>
      <c r="X32" s="97"/>
      <c r="Y32" s="97"/>
      <c r="Z32" s="1353">
        <v>2</v>
      </c>
    </row>
    <row r="33" spans="2:26" s="90" customFormat="1" x14ac:dyDescent="0.2">
      <c r="B33" s="543">
        <f t="shared" si="1"/>
        <v>26</v>
      </c>
      <c r="C33" s="544" t="s">
        <v>441</v>
      </c>
      <c r="D33" s="545">
        <v>2</v>
      </c>
      <c r="E33" s="546">
        <v>2</v>
      </c>
      <c r="F33" s="547">
        <v>6.7400000000000002E-2</v>
      </c>
      <c r="G33" s="548">
        <f t="shared" si="0"/>
        <v>71.286176159999997</v>
      </c>
      <c r="H33" s="548">
        <v>71.286176159999997</v>
      </c>
      <c r="I33" s="567"/>
      <c r="J33" s="568"/>
      <c r="K33" s="551"/>
      <c r="L33" s="556"/>
      <c r="M33" s="134"/>
      <c r="N33" s="135"/>
      <c r="O33" s="552"/>
      <c r="P33" s="140"/>
      <c r="Q33" s="135"/>
      <c r="R33" s="569"/>
      <c r="S33" s="562">
        <v>2</v>
      </c>
      <c r="T33" s="547">
        <v>6.7400000000000002E-2</v>
      </c>
      <c r="U33" s="548">
        <f>T33*1057.6584</f>
        <v>71.286176159999997</v>
      </c>
      <c r="V33" s="1116">
        <v>6.7400000000000002E-2</v>
      </c>
      <c r="W33" s="566">
        <v>59.860999999999997</v>
      </c>
      <c r="X33" s="97"/>
      <c r="Y33" s="97"/>
      <c r="Z33" s="1353">
        <v>2</v>
      </c>
    </row>
    <row r="34" spans="2:26" s="90" customFormat="1" x14ac:dyDescent="0.2">
      <c r="B34" s="543">
        <f t="shared" si="1"/>
        <v>27</v>
      </c>
      <c r="C34" s="544" t="s">
        <v>442</v>
      </c>
      <c r="D34" s="545">
        <v>9</v>
      </c>
      <c r="E34" s="546">
        <v>5</v>
      </c>
      <c r="F34" s="547">
        <v>1.0785</v>
      </c>
      <c r="G34" s="548">
        <f t="shared" si="0"/>
        <v>1140.6845843999999</v>
      </c>
      <c r="H34" s="548">
        <v>1140.6845843999999</v>
      </c>
      <c r="I34" s="567"/>
      <c r="J34" s="568"/>
      <c r="K34" s="551"/>
      <c r="L34" s="556"/>
      <c r="M34" s="134"/>
      <c r="N34" s="135"/>
      <c r="O34" s="552"/>
      <c r="P34" s="546">
        <v>5</v>
      </c>
      <c r="Q34" s="547">
        <v>1.0785</v>
      </c>
      <c r="R34" s="548">
        <f>Q34*1057.6584</f>
        <v>1140.6845843999999</v>
      </c>
      <c r="S34" s="554"/>
      <c r="T34" s="555"/>
      <c r="U34" s="556"/>
      <c r="V34" s="557"/>
      <c r="W34" s="558"/>
      <c r="X34" s="557">
        <v>1.079</v>
      </c>
      <c r="Y34" s="558">
        <v>1368.9949999999999</v>
      </c>
      <c r="Z34" s="1352">
        <v>5</v>
      </c>
    </row>
    <row r="35" spans="2:26" s="90" customFormat="1" ht="14.25" customHeight="1" x14ac:dyDescent="0.2">
      <c r="B35" s="543">
        <f t="shared" si="1"/>
        <v>28</v>
      </c>
      <c r="C35" s="544" t="s">
        <v>443</v>
      </c>
      <c r="D35" s="545">
        <v>9</v>
      </c>
      <c r="E35" s="546">
        <v>1</v>
      </c>
      <c r="F35" s="547">
        <v>0.26300000000000001</v>
      </c>
      <c r="G35" s="548">
        <f t="shared" si="0"/>
        <v>278.16415920000003</v>
      </c>
      <c r="H35" s="548">
        <v>278.16415920000003</v>
      </c>
      <c r="I35" s="567"/>
      <c r="J35" s="568"/>
      <c r="K35" s="551"/>
      <c r="L35" s="556"/>
      <c r="M35" s="134"/>
      <c r="N35" s="135"/>
      <c r="O35" s="552"/>
      <c r="P35" s="546"/>
      <c r="Q35" s="547"/>
      <c r="R35" s="548"/>
      <c r="S35" s="562">
        <v>1</v>
      </c>
      <c r="T35" s="547">
        <v>0.26300000000000001</v>
      </c>
      <c r="U35" s="548">
        <f>T35*1057.6584</f>
        <v>278.16415920000003</v>
      </c>
      <c r="V35" s="557">
        <v>0.26300000000000001</v>
      </c>
      <c r="W35" s="558">
        <v>327.649</v>
      </c>
      <c r="X35" s="558"/>
      <c r="Y35" s="1111"/>
      <c r="Z35" s="1352">
        <v>1</v>
      </c>
    </row>
    <row r="36" spans="2:26" s="90" customFormat="1" x14ac:dyDescent="0.2">
      <c r="B36" s="543">
        <f t="shared" si="1"/>
        <v>29</v>
      </c>
      <c r="C36" s="559" t="s">
        <v>444</v>
      </c>
      <c r="D36" s="545">
        <v>5</v>
      </c>
      <c r="E36" s="546">
        <v>4</v>
      </c>
      <c r="F36" s="547">
        <v>0.44180000000000003</v>
      </c>
      <c r="G36" s="548">
        <f t="shared" si="0"/>
        <v>467.27348112000004</v>
      </c>
      <c r="H36" s="548">
        <v>467.27348112000004</v>
      </c>
      <c r="I36" s="567"/>
      <c r="J36" s="140"/>
      <c r="K36" s="135"/>
      <c r="L36" s="556"/>
      <c r="M36" s="134"/>
      <c r="N36" s="135"/>
      <c r="O36" s="552"/>
      <c r="P36" s="140"/>
      <c r="Q36" s="135"/>
      <c r="R36" s="569"/>
      <c r="S36" s="562">
        <v>4</v>
      </c>
      <c r="T36" s="547">
        <v>0.44180000000000003</v>
      </c>
      <c r="U36" s="548">
        <f>T36*1057.6584</f>
        <v>467.27348112000004</v>
      </c>
      <c r="V36" s="561">
        <v>0.442</v>
      </c>
      <c r="W36" s="558">
        <v>392.38200000000001</v>
      </c>
      <c r="X36" s="558"/>
      <c r="Y36" s="558"/>
      <c r="Z36" s="1352">
        <v>4</v>
      </c>
    </row>
    <row r="37" spans="2:26" s="90" customFormat="1" ht="13.5" customHeight="1" x14ac:dyDescent="0.2">
      <c r="B37" s="543">
        <f t="shared" si="1"/>
        <v>30</v>
      </c>
      <c r="C37" s="559" t="s">
        <v>445</v>
      </c>
      <c r="D37" s="545">
        <v>9</v>
      </c>
      <c r="E37" s="546">
        <v>9</v>
      </c>
      <c r="F37" s="547">
        <v>2.282</v>
      </c>
      <c r="G37" s="548">
        <f t="shared" si="0"/>
        <v>2413.5764687999999</v>
      </c>
      <c r="H37" s="548">
        <v>2413.5764687999999</v>
      </c>
      <c r="I37" s="567"/>
      <c r="J37" s="140"/>
      <c r="K37" s="135"/>
      <c r="L37" s="556"/>
      <c r="M37" s="134"/>
      <c r="N37" s="135"/>
      <c r="O37" s="552"/>
      <c r="P37" s="568"/>
      <c r="Q37" s="551"/>
      <c r="R37" s="569"/>
      <c r="S37" s="562">
        <v>9</v>
      </c>
      <c r="T37" s="547">
        <v>2.282</v>
      </c>
      <c r="U37" s="548">
        <f>T37*1057.6584</f>
        <v>2413.5764687999999</v>
      </c>
      <c r="V37" s="561"/>
      <c r="W37" s="558"/>
      <c r="X37" s="558">
        <v>2.282</v>
      </c>
      <c r="Y37" s="558">
        <v>2008.636</v>
      </c>
      <c r="Z37" s="1352">
        <v>9</v>
      </c>
    </row>
    <row r="38" spans="2:26" s="90" customFormat="1" x14ac:dyDescent="0.2">
      <c r="B38" s="543">
        <f t="shared" si="1"/>
        <v>31</v>
      </c>
      <c r="C38" s="559" t="s">
        <v>446</v>
      </c>
      <c r="D38" s="545">
        <v>9</v>
      </c>
      <c r="E38" s="546">
        <v>9</v>
      </c>
      <c r="F38" s="1112">
        <v>1.8243</v>
      </c>
      <c r="G38" s="548">
        <f t="shared" si="0"/>
        <v>1929.48621912</v>
      </c>
      <c r="H38" s="548">
        <v>1929.48621912</v>
      </c>
      <c r="I38" s="567"/>
      <c r="J38" s="140">
        <v>9</v>
      </c>
      <c r="K38" s="135">
        <v>1.8240000000000001</v>
      </c>
      <c r="L38" s="569">
        <f>K38*1151.6584</f>
        <v>2100.6249216000001</v>
      </c>
      <c r="M38" s="134"/>
      <c r="N38" s="135"/>
      <c r="O38" s="552"/>
      <c r="P38" s="568"/>
      <c r="Q38" s="551"/>
      <c r="R38" s="569"/>
      <c r="S38" s="554"/>
      <c r="T38" s="555"/>
      <c r="U38" s="556"/>
      <c r="V38" s="557">
        <f>0.2026+0.608+0.4053+0.4053+0.203</f>
        <v>1.8242</v>
      </c>
      <c r="W38" s="406">
        <f>187.4713+737.1708+505.9688+431.9119+213.215</f>
        <v>2075.7378000000003</v>
      </c>
      <c r="X38" s="558"/>
      <c r="Y38" s="558"/>
      <c r="Z38" s="1352">
        <v>9</v>
      </c>
    </row>
    <row r="39" spans="2:26" s="90" customFormat="1" x14ac:dyDescent="0.2">
      <c r="B39" s="543">
        <f t="shared" si="1"/>
        <v>32</v>
      </c>
      <c r="C39" s="559" t="s">
        <v>447</v>
      </c>
      <c r="D39" s="545">
        <v>5</v>
      </c>
      <c r="E39" s="546">
        <v>5</v>
      </c>
      <c r="F39" s="547">
        <v>0.4597</v>
      </c>
      <c r="G39" s="548">
        <f t="shared" si="0"/>
        <v>486.20556648000002</v>
      </c>
      <c r="H39" s="548">
        <v>486.20556648000002</v>
      </c>
      <c r="I39" s="567"/>
      <c r="J39" s="140"/>
      <c r="K39" s="135"/>
      <c r="L39" s="556"/>
      <c r="M39" s="562">
        <v>5</v>
      </c>
      <c r="N39" s="547">
        <v>0.4597</v>
      </c>
      <c r="O39" s="570">
        <f>N39*1057.6584</f>
        <v>486.20556648000002</v>
      </c>
      <c r="P39" s="568"/>
      <c r="Q39" s="551"/>
      <c r="R39" s="569"/>
      <c r="S39" s="554"/>
      <c r="T39" s="555"/>
      <c r="U39" s="556"/>
      <c r="V39" s="561"/>
      <c r="W39" s="558"/>
      <c r="X39" s="406">
        <v>0.4597</v>
      </c>
      <c r="Y39" s="406">
        <v>520</v>
      </c>
      <c r="Z39" s="1352">
        <v>5</v>
      </c>
    </row>
    <row r="40" spans="2:26" s="90" customFormat="1" x14ac:dyDescent="0.2">
      <c r="B40" s="543">
        <f t="shared" si="1"/>
        <v>33</v>
      </c>
      <c r="C40" s="559" t="s">
        <v>448</v>
      </c>
      <c r="D40" s="545">
        <v>5</v>
      </c>
      <c r="E40" s="546">
        <v>5</v>
      </c>
      <c r="F40" s="547">
        <v>0.49590000000000001</v>
      </c>
      <c r="G40" s="548">
        <f t="shared" si="0"/>
        <v>524.49280055999998</v>
      </c>
      <c r="H40" s="548">
        <v>524.49280055999998</v>
      </c>
      <c r="I40" s="567"/>
      <c r="J40" s="140"/>
      <c r="K40" s="135"/>
      <c r="L40" s="556"/>
      <c r="M40" s="562">
        <v>5</v>
      </c>
      <c r="N40" s="547">
        <v>0.49590000000000001</v>
      </c>
      <c r="O40" s="570">
        <f>N40*1057.6584</f>
        <v>524.49280055999998</v>
      </c>
      <c r="P40" s="568"/>
      <c r="Q40" s="551"/>
      <c r="R40" s="569"/>
      <c r="S40" s="554"/>
      <c r="T40" s="555"/>
      <c r="U40" s="556"/>
      <c r="V40" s="561"/>
      <c r="W40" s="558"/>
      <c r="X40" s="406">
        <v>0.49590000000000001</v>
      </c>
      <c r="Y40" s="406">
        <v>573</v>
      </c>
      <c r="Z40" s="1352">
        <v>5</v>
      </c>
    </row>
    <row r="41" spans="2:26" s="90" customFormat="1" x14ac:dyDescent="0.2">
      <c r="B41" s="543">
        <f t="shared" si="1"/>
        <v>34</v>
      </c>
      <c r="C41" s="559" t="s">
        <v>449</v>
      </c>
      <c r="D41" s="545">
        <v>5</v>
      </c>
      <c r="E41" s="546">
        <v>9</v>
      </c>
      <c r="F41" s="547">
        <v>0.58599999999999997</v>
      </c>
      <c r="G41" s="548">
        <f t="shared" si="0"/>
        <v>619.78782239999998</v>
      </c>
      <c r="H41" s="548">
        <v>619.78782239999998</v>
      </c>
      <c r="I41" s="567"/>
      <c r="J41" s="140"/>
      <c r="K41" s="135"/>
      <c r="L41" s="556"/>
      <c r="M41" s="562"/>
      <c r="N41" s="547"/>
      <c r="O41" s="570"/>
      <c r="P41" s="546">
        <v>9</v>
      </c>
      <c r="Q41" s="547">
        <v>0.58599999999999997</v>
      </c>
      <c r="R41" s="548">
        <f>Q41*1057.6584</f>
        <v>619.78782239999998</v>
      </c>
      <c r="S41" s="554"/>
      <c r="T41" s="555"/>
      <c r="U41" s="556"/>
      <c r="V41" s="561"/>
      <c r="W41" s="558"/>
      <c r="X41" s="558">
        <v>0.58599999999999997</v>
      </c>
      <c r="Y41" s="406">
        <v>558.47500000000002</v>
      </c>
      <c r="Z41" s="1352">
        <v>9</v>
      </c>
    </row>
    <row r="42" spans="2:26" s="90" customFormat="1" x14ac:dyDescent="0.2">
      <c r="B42" s="543">
        <f t="shared" si="1"/>
        <v>35</v>
      </c>
      <c r="C42" s="559" t="s">
        <v>450</v>
      </c>
      <c r="D42" s="545">
        <v>9</v>
      </c>
      <c r="E42" s="546">
        <v>9</v>
      </c>
      <c r="F42" s="547">
        <v>1.8380000000000001</v>
      </c>
      <c r="G42" s="548">
        <f t="shared" si="0"/>
        <v>1943.9761392</v>
      </c>
      <c r="H42" s="548">
        <v>1943.9761392</v>
      </c>
      <c r="I42" s="567"/>
      <c r="J42" s="140"/>
      <c r="K42" s="135"/>
      <c r="L42" s="556"/>
      <c r="M42" s="562">
        <v>9</v>
      </c>
      <c r="N42" s="547">
        <v>1.8380000000000001</v>
      </c>
      <c r="O42" s="570">
        <f>N42*1057.6584</f>
        <v>1943.9761392</v>
      </c>
      <c r="P42" s="568"/>
      <c r="Q42" s="551"/>
      <c r="R42" s="569"/>
      <c r="S42" s="554"/>
      <c r="T42" s="555"/>
      <c r="U42" s="556"/>
      <c r="V42" s="561"/>
      <c r="W42" s="558"/>
      <c r="X42" s="558">
        <v>1.8380000000000001</v>
      </c>
      <c r="Y42" s="558">
        <v>2279.0189999999998</v>
      </c>
      <c r="Z42" s="1352">
        <v>9</v>
      </c>
    </row>
    <row r="43" spans="2:26" s="90" customFormat="1" x14ac:dyDescent="0.2">
      <c r="B43" s="543">
        <f t="shared" si="1"/>
        <v>36</v>
      </c>
      <c r="C43" s="559" t="s">
        <v>451</v>
      </c>
      <c r="D43" s="545">
        <v>2</v>
      </c>
      <c r="E43" s="546">
        <v>1</v>
      </c>
      <c r="F43" s="547">
        <v>3.4099999999999998E-2</v>
      </c>
      <c r="G43" s="548">
        <f t="shared" si="0"/>
        <v>36.066151439999999</v>
      </c>
      <c r="H43" s="548">
        <v>36.066151439999999</v>
      </c>
      <c r="I43" s="567"/>
      <c r="J43" s="140"/>
      <c r="K43" s="135"/>
      <c r="L43" s="556"/>
      <c r="M43" s="134"/>
      <c r="N43" s="135"/>
      <c r="O43" s="552"/>
      <c r="P43" s="546">
        <v>1</v>
      </c>
      <c r="Q43" s="547">
        <v>3.4099999999999998E-2</v>
      </c>
      <c r="R43" s="548">
        <f>Q43*1057.6584</f>
        <v>36.066151439999999</v>
      </c>
      <c r="S43" s="554"/>
      <c r="T43" s="555"/>
      <c r="U43" s="556"/>
      <c r="V43" s="561">
        <v>3.4000000000000002E-2</v>
      </c>
      <c r="W43" s="558">
        <v>39.423999999999999</v>
      </c>
      <c r="X43" s="558"/>
      <c r="Y43" s="558"/>
      <c r="Z43" s="1352">
        <v>1</v>
      </c>
    </row>
    <row r="44" spans="2:26" s="90" customFormat="1" x14ac:dyDescent="0.2">
      <c r="B44" s="543">
        <f t="shared" si="1"/>
        <v>37</v>
      </c>
      <c r="C44" s="559" t="s">
        <v>452</v>
      </c>
      <c r="D44" s="545">
        <v>4</v>
      </c>
      <c r="E44" s="546">
        <v>4</v>
      </c>
      <c r="F44" s="547">
        <v>0.438</v>
      </c>
      <c r="G44" s="548">
        <f t="shared" si="0"/>
        <v>463.25437920000002</v>
      </c>
      <c r="H44" s="548">
        <v>463.25437920000002</v>
      </c>
      <c r="I44" s="567"/>
      <c r="J44" s="140"/>
      <c r="K44" s="135"/>
      <c r="L44" s="556"/>
      <c r="M44" s="134"/>
      <c r="N44" s="135"/>
      <c r="O44" s="552"/>
      <c r="P44" s="546">
        <v>4</v>
      </c>
      <c r="Q44" s="547">
        <v>0.438</v>
      </c>
      <c r="R44" s="548">
        <f>Q44*1057.6584</f>
        <v>463.25437920000002</v>
      </c>
      <c r="S44" s="554"/>
      <c r="T44" s="555"/>
      <c r="U44" s="556"/>
      <c r="V44" s="561">
        <v>0.43</v>
      </c>
      <c r="W44" s="558">
        <v>390.39100000000002</v>
      </c>
      <c r="X44" s="558"/>
      <c r="Y44" s="558"/>
      <c r="Z44" s="1352">
        <v>4</v>
      </c>
    </row>
    <row r="45" spans="2:26" s="90" customFormat="1" ht="12" customHeight="1" x14ac:dyDescent="0.2">
      <c r="B45" s="543">
        <f t="shared" si="1"/>
        <v>38</v>
      </c>
      <c r="C45" s="559" t="s">
        <v>453</v>
      </c>
      <c r="D45" s="545">
        <v>9</v>
      </c>
      <c r="E45" s="546">
        <v>1</v>
      </c>
      <c r="F45" s="547">
        <v>0.28889999999999999</v>
      </c>
      <c r="G45" s="548">
        <f t="shared" si="0"/>
        <v>305.55751176000001</v>
      </c>
      <c r="H45" s="548">
        <v>305.55751176000001</v>
      </c>
      <c r="I45" s="567"/>
      <c r="J45" s="140"/>
      <c r="K45" s="135"/>
      <c r="L45" s="556"/>
      <c r="M45" s="562">
        <v>1</v>
      </c>
      <c r="N45" s="547">
        <v>0.28889999999999999</v>
      </c>
      <c r="O45" s="570">
        <f>N45*1057.6584</f>
        <v>305.55751176000001</v>
      </c>
      <c r="P45" s="568"/>
      <c r="Q45" s="551"/>
      <c r="R45" s="569"/>
      <c r="S45" s="554"/>
      <c r="T45" s="555"/>
      <c r="U45" s="556"/>
      <c r="V45" s="561">
        <v>0.28899999999999998</v>
      </c>
      <c r="W45" s="558">
        <v>256.58499999999998</v>
      </c>
      <c r="X45" s="558"/>
      <c r="Y45" s="558"/>
      <c r="Z45" s="1352">
        <v>1</v>
      </c>
    </row>
    <row r="46" spans="2:26" s="90" customFormat="1" x14ac:dyDescent="0.2">
      <c r="B46" s="543">
        <f t="shared" si="1"/>
        <v>39</v>
      </c>
      <c r="C46" s="559" t="s">
        <v>454</v>
      </c>
      <c r="D46" s="545">
        <v>5</v>
      </c>
      <c r="E46" s="546">
        <v>5</v>
      </c>
      <c r="F46" s="547">
        <v>0.38350000000000001</v>
      </c>
      <c r="G46" s="548">
        <f>406.612</f>
        <v>406.61200000000002</v>
      </c>
      <c r="H46" s="548">
        <v>406.61200000000002</v>
      </c>
      <c r="I46" s="567"/>
      <c r="J46" s="140"/>
      <c r="K46" s="135"/>
      <c r="L46" s="556"/>
      <c r="M46" s="546">
        <v>5</v>
      </c>
      <c r="N46" s="547">
        <v>0.38350000000000001</v>
      </c>
      <c r="O46" s="548">
        <f>406.612</f>
        <v>406.61200000000002</v>
      </c>
      <c r="P46" s="568"/>
      <c r="Q46" s="551"/>
      <c r="R46" s="569"/>
      <c r="S46" s="554"/>
      <c r="T46" s="555"/>
      <c r="U46" s="556"/>
      <c r="V46" s="561">
        <f>0.384</f>
        <v>0.38400000000000001</v>
      </c>
      <c r="W46" s="558">
        <f>264.619+288.196</f>
        <v>552.81500000000005</v>
      </c>
      <c r="X46" s="558"/>
      <c r="Y46" s="558"/>
      <c r="Z46" s="1352">
        <v>5</v>
      </c>
    </row>
    <row r="47" spans="2:26" s="90" customFormat="1" x14ac:dyDescent="0.2">
      <c r="B47" s="543">
        <f t="shared" si="1"/>
        <v>40</v>
      </c>
      <c r="C47" s="559" t="s">
        <v>455</v>
      </c>
      <c r="D47" s="545">
        <v>5</v>
      </c>
      <c r="E47" s="546">
        <v>2</v>
      </c>
      <c r="F47" s="547">
        <v>0.14499999999999999</v>
      </c>
      <c r="G47" s="548">
        <f t="shared" si="0"/>
        <v>153.360468</v>
      </c>
      <c r="H47" s="548">
        <v>153.360468</v>
      </c>
      <c r="I47" s="567"/>
      <c r="J47" s="140"/>
      <c r="K47" s="135"/>
      <c r="L47" s="556"/>
      <c r="M47" s="562">
        <v>2</v>
      </c>
      <c r="N47" s="547">
        <v>0.14499999999999999</v>
      </c>
      <c r="O47" s="570">
        <f>N47*1057.6584</f>
        <v>153.360468</v>
      </c>
      <c r="P47" s="568"/>
      <c r="Q47" s="551"/>
      <c r="R47" s="569"/>
      <c r="S47" s="554"/>
      <c r="T47" s="555"/>
      <c r="U47" s="556"/>
      <c r="V47" s="561">
        <v>0.14499999999999999</v>
      </c>
      <c r="W47" s="558">
        <v>128.78100000000001</v>
      </c>
      <c r="X47" s="558"/>
      <c r="Y47" s="558"/>
      <c r="Z47" s="1352">
        <v>2</v>
      </c>
    </row>
    <row r="48" spans="2:26" s="90" customFormat="1" ht="13.5" thickBot="1" x14ac:dyDescent="0.25">
      <c r="B48" s="571">
        <f t="shared" si="1"/>
        <v>41</v>
      </c>
      <c r="C48" s="572" t="s">
        <v>456</v>
      </c>
      <c r="D48" s="573">
        <v>3</v>
      </c>
      <c r="E48" s="574">
        <v>2</v>
      </c>
      <c r="F48" s="575">
        <v>0.127</v>
      </c>
      <c r="G48" s="576">
        <f t="shared" si="0"/>
        <v>134.32261679999999</v>
      </c>
      <c r="H48" s="576">
        <v>134.32261679999999</v>
      </c>
      <c r="I48" s="577"/>
      <c r="J48" s="578"/>
      <c r="K48" s="579"/>
      <c r="L48" s="580"/>
      <c r="M48" s="581">
        <v>2</v>
      </c>
      <c r="N48" s="575">
        <v>0.127</v>
      </c>
      <c r="O48" s="582">
        <f>N48*1057.6584</f>
        <v>134.32261679999999</v>
      </c>
      <c r="P48" s="583"/>
      <c r="Q48" s="584"/>
      <c r="R48" s="585"/>
      <c r="S48" s="586"/>
      <c r="T48" s="587"/>
      <c r="U48" s="588"/>
      <c r="V48" s="561">
        <v>0.127</v>
      </c>
      <c r="W48" s="558">
        <v>122.794</v>
      </c>
      <c r="X48" s="558"/>
      <c r="Y48" s="558"/>
      <c r="Z48" s="1352">
        <v>2</v>
      </c>
    </row>
    <row r="49" spans="2:26" s="90" customFormat="1" ht="13.5" thickBot="1" x14ac:dyDescent="0.25">
      <c r="B49" s="142"/>
      <c r="C49" s="589" t="s">
        <v>346</v>
      </c>
      <c r="D49" s="590"/>
      <c r="E49" s="591">
        <f t="shared" ref="E49:Y49" si="2">SUM(E8:E48)</f>
        <v>143</v>
      </c>
      <c r="F49" s="592">
        <f t="shared" si="2"/>
        <v>15.973300000000004</v>
      </c>
      <c r="G49" s="593">
        <f t="shared" si="2"/>
        <v>16895.294924319998</v>
      </c>
      <c r="H49" s="594">
        <f t="shared" si="2"/>
        <v>16889.795100639996</v>
      </c>
      <c r="I49" s="594">
        <f t="shared" si="2"/>
        <v>0</v>
      </c>
      <c r="J49" s="594">
        <f t="shared" si="2"/>
        <v>36</v>
      </c>
      <c r="K49" s="594">
        <f t="shared" si="2"/>
        <v>3.8330000000000002</v>
      </c>
      <c r="L49" s="594">
        <f t="shared" si="2"/>
        <v>4232.0594471999993</v>
      </c>
      <c r="M49" s="594">
        <f t="shared" si="2"/>
        <v>29</v>
      </c>
      <c r="N49" s="594">
        <f t="shared" si="2"/>
        <v>3.7380000000000004</v>
      </c>
      <c r="O49" s="595">
        <f t="shared" si="2"/>
        <v>3954.5271028000002</v>
      </c>
      <c r="P49" s="592">
        <f t="shared" si="2"/>
        <v>50</v>
      </c>
      <c r="Q49" s="594">
        <f t="shared" si="2"/>
        <v>4.7987999999999991</v>
      </c>
      <c r="R49" s="594">
        <f t="shared" si="2"/>
        <v>5075.4911299199994</v>
      </c>
      <c r="S49" s="594">
        <f t="shared" si="2"/>
        <v>28</v>
      </c>
      <c r="T49" s="594">
        <f t="shared" si="2"/>
        <v>3.5979999999999999</v>
      </c>
      <c r="U49" s="594">
        <f t="shared" si="2"/>
        <v>3805.4549231999999</v>
      </c>
      <c r="V49" s="1107">
        <f t="shared" si="2"/>
        <v>9.0747000000000018</v>
      </c>
      <c r="W49" s="596">
        <f t="shared" si="2"/>
        <v>10112.177100000003</v>
      </c>
      <c r="X49" s="596">
        <f t="shared" si="2"/>
        <v>6.7405999999999997</v>
      </c>
      <c r="Y49" s="596">
        <f t="shared" si="2"/>
        <v>7308.125</v>
      </c>
      <c r="Z49" s="1354">
        <f>SUM(Z8:Z48)</f>
        <v>143</v>
      </c>
    </row>
    <row r="50" spans="2:26" s="90" customFormat="1" ht="15.75" x14ac:dyDescent="0.25">
      <c r="B50" s="117"/>
      <c r="C50" s="117"/>
      <c r="D50" s="117"/>
      <c r="E50" s="117"/>
      <c r="F50" s="59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Z50" s="1355"/>
    </row>
    <row r="51" spans="2:26" ht="15.75" x14ac:dyDescent="0.25">
      <c r="B51" s="598"/>
      <c r="C51" s="598"/>
      <c r="D51" s="599"/>
      <c r="E51" s="117"/>
      <c r="F51" s="408"/>
      <c r="G51" s="408"/>
      <c r="H51" s="600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W51" s="601"/>
    </row>
    <row r="53" spans="2:26" ht="15.75" x14ac:dyDescent="0.25">
      <c r="C53" s="598"/>
      <c r="D53" s="598"/>
      <c r="E53" s="599"/>
      <c r="F53" s="117"/>
      <c r="G53" s="408"/>
      <c r="H53" s="408"/>
      <c r="I53" s="408"/>
    </row>
    <row r="55" spans="2:26" x14ac:dyDescent="0.2">
      <c r="B55" s="90"/>
      <c r="C55" s="90"/>
    </row>
    <row r="56" spans="2:26" x14ac:dyDescent="0.2">
      <c r="B56" s="90"/>
      <c r="C56" s="90"/>
    </row>
    <row r="57" spans="2:26" x14ac:dyDescent="0.2">
      <c r="B57" s="90"/>
      <c r="C57" s="90"/>
    </row>
    <row r="58" spans="2:26" x14ac:dyDescent="0.2">
      <c r="B58" s="90"/>
      <c r="C58" s="90"/>
    </row>
    <row r="59" spans="2:26" x14ac:dyDescent="0.2">
      <c r="B59" s="90"/>
      <c r="C59" s="90"/>
    </row>
    <row r="60" spans="2:26" x14ac:dyDescent="0.2">
      <c r="B60" s="90"/>
      <c r="C60" s="90"/>
    </row>
    <row r="356" spans="6:6" x14ac:dyDescent="0.2">
      <c r="F356">
        <f>F362+F380</f>
        <v>0</v>
      </c>
    </row>
  </sheetData>
  <autoFilter ref="B7:Z51"/>
  <mergeCells count="26">
    <mergeCell ref="B51:C51"/>
    <mergeCell ref="C53:D53"/>
    <mergeCell ref="S4:T5"/>
    <mergeCell ref="U4:U5"/>
    <mergeCell ref="V5:W5"/>
    <mergeCell ref="X5:Y5"/>
    <mergeCell ref="Z5:Z6"/>
    <mergeCell ref="S3:U3"/>
    <mergeCell ref="V3:Z4"/>
    <mergeCell ref="E4:F5"/>
    <mergeCell ref="H4:I4"/>
    <mergeCell ref="J4:K5"/>
    <mergeCell ref="L4:L5"/>
    <mergeCell ref="M4:N5"/>
    <mergeCell ref="O4:O5"/>
    <mergeCell ref="P4:Q5"/>
    <mergeCell ref="R4:R5"/>
    <mergeCell ref="B1:U1"/>
    <mergeCell ref="B2:U2"/>
    <mergeCell ref="B3:B6"/>
    <mergeCell ref="C3:C6"/>
    <mergeCell ref="D3:D6"/>
    <mergeCell ref="E3:I3"/>
    <mergeCell ref="J3:L3"/>
    <mergeCell ref="M3:O3"/>
    <mergeCell ref="P3:R3"/>
  </mergeCells>
  <pageMargins left="0.23622047244094491" right="0.23622047244094491" top="0.74803149606299213" bottom="0.74803149606299213" header="0.31496062992125984" footer="0.31496062992125984"/>
  <pageSetup paperSize="9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1:S119"/>
  <sheetViews>
    <sheetView showWhiteSpace="0" topLeftCell="A4" zoomScaleNormal="100" workbookViewId="0">
      <pane xSplit="3" ySplit="5" topLeftCell="D69" activePane="bottomRight" state="frozen"/>
      <selection activeCell="A4" sqref="A4"/>
      <selection pane="topRight" activeCell="C4" sqref="C4"/>
      <selection pane="bottomLeft" activeCell="A10" sqref="A10"/>
      <selection pane="bottomRight" activeCell="D104" sqref="D104"/>
    </sheetView>
  </sheetViews>
  <sheetFormatPr defaultRowHeight="15" x14ac:dyDescent="0.2"/>
  <cols>
    <col min="2" max="2" width="5.28515625" style="2" customWidth="1"/>
    <col min="3" max="3" width="30.140625" customWidth="1"/>
    <col min="4" max="4" width="27.7109375" customWidth="1"/>
    <col min="5" max="5" width="14.140625" customWidth="1"/>
    <col min="6" max="6" width="10" hidden="1" customWidth="1"/>
    <col min="7" max="7" width="12.28515625" hidden="1" customWidth="1"/>
    <col min="8" max="8" width="11" hidden="1" customWidth="1"/>
    <col min="9" max="9" width="9.28515625" hidden="1" customWidth="1"/>
    <col min="10" max="10" width="11.42578125" style="613" hidden="1" customWidth="1"/>
    <col min="11" max="11" width="16.85546875" hidden="1" customWidth="1"/>
    <col min="12" max="12" width="9" hidden="1" customWidth="1"/>
    <col min="13" max="13" width="23.28515625" hidden="1" customWidth="1"/>
    <col min="14" max="15" width="11.140625" customWidth="1"/>
    <col min="16" max="16" width="10.5703125" customWidth="1"/>
    <col min="17" max="17" width="10.85546875" customWidth="1"/>
    <col min="18" max="18" width="30.42578125" style="394" customWidth="1"/>
  </cols>
  <sheetData>
    <row r="1" spans="2:19" ht="15.75" hidden="1" x14ac:dyDescent="0.25">
      <c r="B1" s="211"/>
      <c r="C1" s="177"/>
      <c r="D1" s="177"/>
      <c r="E1" s="404"/>
      <c r="F1" s="404"/>
      <c r="G1" s="404"/>
      <c r="H1" s="404"/>
      <c r="I1" s="602" t="s">
        <v>457</v>
      </c>
      <c r="J1" s="602"/>
      <c r="K1" s="404"/>
      <c r="L1" s="404"/>
      <c r="M1" s="404"/>
      <c r="N1" s="404"/>
      <c r="O1" s="404"/>
      <c r="P1" s="404"/>
      <c r="Q1" s="404"/>
      <c r="R1" s="327"/>
    </row>
    <row r="2" spans="2:19" ht="30" hidden="1" customHeight="1" x14ac:dyDescent="0.25">
      <c r="B2" s="211"/>
      <c r="C2" s="177"/>
      <c r="D2" s="177"/>
      <c r="E2" s="404"/>
      <c r="F2" s="404"/>
      <c r="G2" s="404"/>
      <c r="H2" s="404"/>
      <c r="I2" s="602"/>
      <c r="J2" s="602"/>
    </row>
    <row r="3" spans="2:19" ht="25.5" hidden="1" customHeight="1" x14ac:dyDescent="0.25">
      <c r="B3" s="211"/>
      <c r="C3" s="177"/>
      <c r="D3" s="177"/>
      <c r="E3" s="603"/>
      <c r="F3" s="603"/>
      <c r="G3" s="176"/>
      <c r="H3" s="176"/>
      <c r="I3" s="602"/>
      <c r="J3" s="602"/>
    </row>
    <row r="4" spans="2:19" ht="26.25" customHeight="1" x14ac:dyDescent="0.2">
      <c r="B4" s="211"/>
      <c r="C4" s="604" t="s">
        <v>458</v>
      </c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</row>
    <row r="5" spans="2:19" ht="33.75" customHeight="1" thickBot="1" x14ac:dyDescent="0.25">
      <c r="B5" s="211"/>
      <c r="C5" s="604"/>
      <c r="D5" s="604"/>
      <c r="E5" s="604"/>
      <c r="F5" s="604"/>
      <c r="G5" s="604"/>
      <c r="H5" s="604"/>
      <c r="I5" s="604"/>
      <c r="J5" s="604"/>
      <c r="K5" s="604"/>
      <c r="L5" s="604"/>
      <c r="M5" s="604"/>
      <c r="N5" s="604"/>
      <c r="O5" s="604"/>
      <c r="P5" s="604"/>
      <c r="Q5" s="604"/>
    </row>
    <row r="6" spans="2:19" s="90" customFormat="1" ht="14.25" customHeight="1" thickBot="1" x14ac:dyDescent="0.3">
      <c r="B6" s="1117" t="s">
        <v>6</v>
      </c>
      <c r="C6" s="1117" t="s">
        <v>7</v>
      </c>
      <c r="D6" s="1118" t="s">
        <v>459</v>
      </c>
      <c r="E6" s="409" t="s">
        <v>198</v>
      </c>
      <c r="F6" s="1120" t="s">
        <v>198</v>
      </c>
      <c r="G6" s="1121" t="s">
        <v>10</v>
      </c>
      <c r="H6" s="1122" t="s">
        <v>460</v>
      </c>
      <c r="I6" s="409" t="s">
        <v>461</v>
      </c>
      <c r="J6" s="1123" t="s">
        <v>462</v>
      </c>
      <c r="K6" s="1119" t="s">
        <v>212</v>
      </c>
      <c r="L6" s="1124"/>
      <c r="M6" s="1125"/>
      <c r="N6" s="1170" t="s">
        <v>463</v>
      </c>
      <c r="O6" s="1157"/>
      <c r="P6" s="1157"/>
      <c r="Q6" s="1157"/>
      <c r="R6" s="1158"/>
    </row>
    <row r="7" spans="2:19" s="90" customFormat="1" ht="14.25" customHeight="1" thickBot="1" x14ac:dyDescent="0.3">
      <c r="B7" s="1126"/>
      <c r="C7" s="1126"/>
      <c r="D7" s="464"/>
      <c r="E7" s="411"/>
      <c r="F7" s="1128"/>
      <c r="G7" s="1129"/>
      <c r="H7" s="1130"/>
      <c r="I7" s="411"/>
      <c r="J7" s="1131"/>
      <c r="K7" s="1127"/>
      <c r="L7" s="1132"/>
      <c r="M7" s="1133"/>
      <c r="N7" s="1134" t="s">
        <v>10</v>
      </c>
      <c r="O7" s="1134"/>
      <c r="P7" s="1171" t="s">
        <v>574</v>
      </c>
      <c r="Q7" s="1172"/>
      <c r="R7" s="1238" t="s">
        <v>212</v>
      </c>
    </row>
    <row r="8" spans="2:19" s="90" customFormat="1" ht="15.75" customHeight="1" thickBot="1" x14ac:dyDescent="0.3">
      <c r="B8" s="1135"/>
      <c r="C8" s="1135"/>
      <c r="D8" s="1136"/>
      <c r="E8" s="1138" t="s">
        <v>464</v>
      </c>
      <c r="F8" s="1139" t="s">
        <v>465</v>
      </c>
      <c r="G8" s="1140" t="s">
        <v>464</v>
      </c>
      <c r="H8" s="1141" t="s">
        <v>212</v>
      </c>
      <c r="I8" s="1138" t="s">
        <v>466</v>
      </c>
      <c r="J8" s="1142"/>
      <c r="K8" s="1137"/>
      <c r="L8" s="1143"/>
      <c r="M8" s="1144"/>
      <c r="N8" s="1145" t="s">
        <v>464</v>
      </c>
      <c r="O8" s="1146" t="s">
        <v>414</v>
      </c>
      <c r="P8" s="1173" t="s">
        <v>468</v>
      </c>
      <c r="Q8" s="1174" t="s">
        <v>414</v>
      </c>
      <c r="R8" s="1254"/>
    </row>
    <row r="9" spans="2:19" s="90" customFormat="1" ht="10.5" customHeight="1" thickBot="1" x14ac:dyDescent="0.3">
      <c r="B9" s="1147"/>
      <c r="C9" s="1148"/>
      <c r="D9" s="412"/>
      <c r="E9" s="412"/>
      <c r="F9" s="1148"/>
      <c r="G9" s="1149"/>
      <c r="H9" s="1150"/>
      <c r="I9" s="1148"/>
      <c r="J9" s="1148"/>
      <c r="K9" s="1148"/>
      <c r="L9" s="1132"/>
      <c r="M9" s="1133"/>
      <c r="N9" s="1151"/>
      <c r="O9" s="1152"/>
      <c r="P9" s="1175"/>
      <c r="Q9" s="1176"/>
      <c r="R9" s="1275"/>
    </row>
    <row r="10" spans="2:19" s="90" customFormat="1" ht="15.75" customHeight="1" x14ac:dyDescent="0.2">
      <c r="B10" s="608">
        <f t="shared" ref="B10" si="0">B8+1</f>
        <v>1</v>
      </c>
      <c r="C10" s="1276" t="s">
        <v>102</v>
      </c>
      <c r="D10" s="1277" t="s">
        <v>469</v>
      </c>
      <c r="E10" s="1278">
        <v>20</v>
      </c>
      <c r="F10" s="1182"/>
      <c r="G10" s="1178"/>
      <c r="H10" s="1178"/>
      <c r="I10" s="1178">
        <f>E10/1000</f>
        <v>0.02</v>
      </c>
      <c r="J10" s="1178">
        <f>I10*320</f>
        <v>6.4</v>
      </c>
      <c r="K10" s="1179"/>
      <c r="L10" s="1180"/>
      <c r="M10" s="1181"/>
      <c r="N10" s="1322"/>
      <c r="O10" s="1323"/>
      <c r="P10" s="1324">
        <v>78.3</v>
      </c>
      <c r="Q10" s="1324"/>
      <c r="R10" s="1181" t="s">
        <v>470</v>
      </c>
      <c r="S10" s="1183"/>
    </row>
    <row r="11" spans="2:19" s="90" customFormat="1" ht="15.75" customHeight="1" x14ac:dyDescent="0.2">
      <c r="B11" s="608">
        <v>2</v>
      </c>
      <c r="C11" s="1279" t="s">
        <v>154</v>
      </c>
      <c r="D11" s="1280" t="s">
        <v>471</v>
      </c>
      <c r="E11" s="1281"/>
      <c r="F11" s="1187"/>
      <c r="G11" s="606"/>
      <c r="H11" s="606"/>
      <c r="I11" s="606"/>
      <c r="J11" s="606"/>
      <c r="K11" s="1184"/>
      <c r="L11" s="1185"/>
      <c r="M11" s="1186"/>
      <c r="N11" s="1325"/>
      <c r="O11" s="1169"/>
      <c r="P11" s="1326">
        <v>85.5</v>
      </c>
      <c r="Q11" s="1326"/>
      <c r="R11" s="1186" t="s">
        <v>472</v>
      </c>
      <c r="S11" s="1183"/>
    </row>
    <row r="12" spans="2:19" s="90" customFormat="1" ht="15.75" customHeight="1" x14ac:dyDescent="0.2">
      <c r="B12" s="608">
        <v>3</v>
      </c>
      <c r="C12" s="1279" t="s">
        <v>154</v>
      </c>
      <c r="D12" s="1282"/>
      <c r="E12" s="1281">
        <v>90</v>
      </c>
      <c r="F12" s="1187"/>
      <c r="G12" s="606"/>
      <c r="H12" s="606"/>
      <c r="I12" s="1189">
        <f>E12/1000</f>
        <v>0.09</v>
      </c>
      <c r="J12" s="1189">
        <f>I12*320</f>
        <v>28.799999999999997</v>
      </c>
      <c r="K12" s="1190"/>
      <c r="L12" s="1191"/>
      <c r="M12" s="1192"/>
      <c r="N12" s="1327">
        <v>25</v>
      </c>
      <c r="O12" s="1328">
        <v>13.017799999999999</v>
      </c>
      <c r="P12" s="1326"/>
      <c r="Q12" s="1326"/>
      <c r="R12" s="1186" t="s">
        <v>473</v>
      </c>
      <c r="S12" s="1183"/>
    </row>
    <row r="13" spans="2:19" s="90" customFormat="1" ht="15.75" customHeight="1" x14ac:dyDescent="0.2">
      <c r="B13" s="608">
        <v>4</v>
      </c>
      <c r="C13" s="1279" t="s">
        <v>41</v>
      </c>
      <c r="D13" s="1283" t="s">
        <v>474</v>
      </c>
      <c r="E13" s="1281">
        <v>30</v>
      </c>
      <c r="F13" s="1187"/>
      <c r="G13" s="606"/>
      <c r="H13" s="606"/>
      <c r="I13" s="1189">
        <f>E13/1000</f>
        <v>0.03</v>
      </c>
      <c r="J13" s="1189">
        <f>I13*320</f>
        <v>9.6</v>
      </c>
      <c r="K13" s="1184"/>
      <c r="L13" s="1185"/>
      <c r="M13" s="1186"/>
      <c r="N13" s="1325"/>
      <c r="O13" s="1169"/>
      <c r="P13" s="1326">
        <v>128.1</v>
      </c>
      <c r="Q13" s="1326"/>
      <c r="R13" s="1186" t="s">
        <v>475</v>
      </c>
      <c r="S13" s="1183"/>
    </row>
    <row r="14" spans="2:19" s="90" customFormat="1" ht="15.75" customHeight="1" x14ac:dyDescent="0.2">
      <c r="B14" s="1284">
        <v>5</v>
      </c>
      <c r="C14" s="1285" t="s">
        <v>265</v>
      </c>
      <c r="D14" s="1286" t="s">
        <v>476</v>
      </c>
      <c r="E14" s="1281"/>
      <c r="F14" s="1187"/>
      <c r="G14" s="606"/>
      <c r="H14" s="606"/>
      <c r="I14" s="1189"/>
      <c r="J14" s="1189"/>
      <c r="K14" s="1184"/>
      <c r="L14" s="1185"/>
      <c r="M14" s="1186"/>
      <c r="N14" s="1325"/>
      <c r="O14" s="1169"/>
      <c r="P14" s="1326">
        <v>102</v>
      </c>
      <c r="Q14" s="1326"/>
      <c r="R14" s="1209" t="s">
        <v>477</v>
      </c>
      <c r="S14" s="1183"/>
    </row>
    <row r="15" spans="2:19" s="90" customFormat="1" ht="15.75" customHeight="1" x14ac:dyDescent="0.2">
      <c r="B15" s="1287"/>
      <c r="C15" s="1288"/>
      <c r="D15" s="1289"/>
      <c r="E15" s="1281"/>
      <c r="F15" s="1187"/>
      <c r="G15" s="606"/>
      <c r="H15" s="606"/>
      <c r="I15" s="1189"/>
      <c r="J15" s="1189"/>
      <c r="K15" s="1184"/>
      <c r="L15" s="1185"/>
      <c r="M15" s="1186"/>
      <c r="N15" s="1325"/>
      <c r="O15" s="1169"/>
      <c r="P15" s="1326">
        <v>694.4</v>
      </c>
      <c r="Q15" s="1326"/>
      <c r="R15" s="1209" t="s">
        <v>478</v>
      </c>
      <c r="S15" s="1183"/>
    </row>
    <row r="16" spans="2:19" s="90" customFormat="1" ht="15.75" customHeight="1" x14ac:dyDescent="0.2">
      <c r="B16" s="1287"/>
      <c r="C16" s="1288"/>
      <c r="D16" s="1289"/>
      <c r="E16" s="1281"/>
      <c r="F16" s="1187"/>
      <c r="G16" s="606"/>
      <c r="H16" s="606"/>
      <c r="I16" s="1189"/>
      <c r="J16" s="1189"/>
      <c r="K16" s="1184"/>
      <c r="L16" s="1185"/>
      <c r="M16" s="1186"/>
      <c r="N16" s="1325"/>
      <c r="O16" s="1169"/>
      <c r="P16" s="1326">
        <v>102.6</v>
      </c>
      <c r="Q16" s="1326"/>
      <c r="R16" s="1209" t="s">
        <v>479</v>
      </c>
      <c r="S16" s="1183"/>
    </row>
    <row r="17" spans="2:19" s="90" customFormat="1" ht="15.75" customHeight="1" x14ac:dyDescent="0.2">
      <c r="B17" s="1287"/>
      <c r="C17" s="1288"/>
      <c r="D17" s="1289"/>
      <c r="E17" s="1281"/>
      <c r="F17" s="1187"/>
      <c r="G17" s="606"/>
      <c r="H17" s="606"/>
      <c r="I17" s="1189"/>
      <c r="J17" s="1189"/>
      <c r="K17" s="1184"/>
      <c r="L17" s="1185"/>
      <c r="M17" s="1186"/>
      <c r="N17" s="1325"/>
      <c r="O17" s="1169"/>
      <c r="P17" s="1326">
        <v>213.6</v>
      </c>
      <c r="Q17" s="1326"/>
      <c r="R17" s="1311" t="s">
        <v>480</v>
      </c>
      <c r="S17" s="1183"/>
    </row>
    <row r="18" spans="2:19" s="90" customFormat="1" ht="21.75" customHeight="1" x14ac:dyDescent="0.2">
      <c r="B18" s="1287"/>
      <c r="C18" s="1288"/>
      <c r="D18" s="1289"/>
      <c r="E18" s="1290">
        <v>900</v>
      </c>
      <c r="F18" s="1255">
        <f>E18*1.1/1000</f>
        <v>0.9900000000000001</v>
      </c>
      <c r="G18" s="1193">
        <v>30</v>
      </c>
      <c r="H18" s="1193" t="s">
        <v>481</v>
      </c>
      <c r="I18" s="1189">
        <f>E18/1000</f>
        <v>0.9</v>
      </c>
      <c r="J18" s="1189">
        <f>I18*320</f>
        <v>288</v>
      </c>
      <c r="K18" s="1194"/>
      <c r="L18" s="1195"/>
      <c r="M18" s="1196"/>
      <c r="N18" s="1153"/>
      <c r="O18" s="1169"/>
      <c r="P18" s="1329">
        <v>900</v>
      </c>
      <c r="Q18" s="1326">
        <v>270</v>
      </c>
      <c r="R18" s="1321" t="s">
        <v>476</v>
      </c>
      <c r="S18" s="1183"/>
    </row>
    <row r="19" spans="2:19" s="90" customFormat="1" ht="16.5" customHeight="1" x14ac:dyDescent="0.2">
      <c r="B19" s="1291"/>
      <c r="C19" s="1292"/>
      <c r="D19" s="1293"/>
      <c r="E19" s="1290"/>
      <c r="F19" s="1255"/>
      <c r="G19" s="1193"/>
      <c r="H19" s="1193"/>
      <c r="I19" s="1189"/>
      <c r="J19" s="1189"/>
      <c r="K19" s="1194"/>
      <c r="L19" s="1195"/>
      <c r="M19" s="1196"/>
      <c r="N19" s="1153"/>
      <c r="O19" s="1169"/>
      <c r="P19" s="1329">
        <v>47.6</v>
      </c>
      <c r="Q19" s="1326"/>
      <c r="R19" s="1312"/>
      <c r="S19" s="1183"/>
    </row>
    <row r="20" spans="2:19" s="90" customFormat="1" ht="15.75" customHeight="1" x14ac:dyDescent="0.2">
      <c r="B20" s="608" t="e">
        <f>#REF!+1</f>
        <v>#REF!</v>
      </c>
      <c r="C20" s="1279" t="s">
        <v>59</v>
      </c>
      <c r="D20" s="1283" t="s">
        <v>563</v>
      </c>
      <c r="E20" s="1281">
        <v>60</v>
      </c>
      <c r="F20" s="1187"/>
      <c r="G20" s="606"/>
      <c r="H20" s="606"/>
      <c r="I20" s="606">
        <f>E20/1000</f>
        <v>0.06</v>
      </c>
      <c r="J20" s="1189">
        <f>I20*320</f>
        <v>19.2</v>
      </c>
      <c r="K20" s="1184"/>
      <c r="L20" s="1185">
        <v>5</v>
      </c>
      <c r="M20" s="1197" t="s">
        <v>482</v>
      </c>
      <c r="N20" s="1325"/>
      <c r="O20" s="1169"/>
      <c r="P20" s="1329">
        <v>145.1</v>
      </c>
      <c r="Q20" s="1326"/>
      <c r="R20" s="1186" t="s">
        <v>483</v>
      </c>
      <c r="S20" s="1183"/>
    </row>
    <row r="21" spans="2:19" s="607" customFormat="1" ht="15.75" customHeight="1" x14ac:dyDescent="0.2">
      <c r="B21" s="608">
        <v>8</v>
      </c>
      <c r="C21" s="1279" t="s">
        <v>169</v>
      </c>
      <c r="D21" s="1283" t="s">
        <v>484</v>
      </c>
      <c r="E21" s="1281">
        <v>80</v>
      </c>
      <c r="F21" s="1187"/>
      <c r="G21" s="606"/>
      <c r="H21" s="606"/>
      <c r="I21" s="606">
        <f t="shared" ref="I21:I47" si="1">E21/1000</f>
        <v>0.08</v>
      </c>
      <c r="J21" s="1189">
        <f t="shared" ref="J21:J47" si="2">I21*320</f>
        <v>25.6</v>
      </c>
      <c r="K21" s="1184"/>
      <c r="L21" s="1185"/>
      <c r="M21" s="1186"/>
      <c r="N21" s="1325">
        <v>100</v>
      </c>
      <c r="O21" s="1169">
        <v>6.0069999999999997</v>
      </c>
      <c r="P21" s="1329"/>
      <c r="Q21" s="1326"/>
      <c r="R21" s="1186" t="s">
        <v>485</v>
      </c>
      <c r="S21" s="1198"/>
    </row>
    <row r="22" spans="2:19" s="607" customFormat="1" ht="17.25" customHeight="1" x14ac:dyDescent="0.2">
      <c r="B22" s="608">
        <v>9</v>
      </c>
      <c r="C22" s="1279" t="s">
        <v>69</v>
      </c>
      <c r="D22" s="1283" t="s">
        <v>486</v>
      </c>
      <c r="E22" s="1281">
        <v>40</v>
      </c>
      <c r="F22" s="1187"/>
      <c r="G22" s="606"/>
      <c r="H22" s="606"/>
      <c r="I22" s="606">
        <f t="shared" si="1"/>
        <v>0.04</v>
      </c>
      <c r="J22" s="1189">
        <f t="shared" si="2"/>
        <v>12.8</v>
      </c>
      <c r="K22" s="1184"/>
      <c r="L22" s="1185"/>
      <c r="M22" s="1186"/>
      <c r="N22" s="1325"/>
      <c r="O22" s="1169"/>
      <c r="P22" s="1329"/>
      <c r="Q22" s="1326"/>
      <c r="R22" s="1186"/>
      <c r="S22" s="1198"/>
    </row>
    <row r="23" spans="2:19" s="90" customFormat="1" ht="15.75" customHeight="1" x14ac:dyDescent="0.2">
      <c r="B23" s="608">
        <v>10</v>
      </c>
      <c r="C23" s="1279" t="s">
        <v>171</v>
      </c>
      <c r="D23" s="1283" t="s">
        <v>487</v>
      </c>
      <c r="E23" s="1281">
        <v>15</v>
      </c>
      <c r="F23" s="1187"/>
      <c r="G23" s="606"/>
      <c r="H23" s="606"/>
      <c r="I23" s="606">
        <f t="shared" si="1"/>
        <v>1.4999999999999999E-2</v>
      </c>
      <c r="J23" s="1189">
        <f t="shared" si="2"/>
        <v>4.8</v>
      </c>
      <c r="K23" s="1184"/>
      <c r="L23" s="1185"/>
      <c r="M23" s="1186"/>
      <c r="N23" s="1325"/>
      <c r="O23" s="1169"/>
      <c r="P23" s="1329"/>
      <c r="Q23" s="1326"/>
      <c r="R23" s="1186"/>
      <c r="S23" s="1183"/>
    </row>
    <row r="24" spans="2:19" s="609" customFormat="1" ht="15.75" customHeight="1" x14ac:dyDescent="0.2">
      <c r="B24" s="608">
        <v>11</v>
      </c>
      <c r="C24" s="1279" t="s">
        <v>110</v>
      </c>
      <c r="D24" s="1283" t="s">
        <v>488</v>
      </c>
      <c r="E24" s="1281">
        <v>20</v>
      </c>
      <c r="F24" s="1187"/>
      <c r="G24" s="606"/>
      <c r="H24" s="606"/>
      <c r="I24" s="606">
        <f t="shared" si="1"/>
        <v>0.02</v>
      </c>
      <c r="J24" s="1189">
        <f t="shared" si="2"/>
        <v>6.4</v>
      </c>
      <c r="K24" s="1184"/>
      <c r="L24" s="1185"/>
      <c r="M24" s="1186"/>
      <c r="N24" s="1325"/>
      <c r="O24" s="1169"/>
      <c r="P24" s="1329"/>
      <c r="Q24" s="1326"/>
      <c r="R24" s="1186"/>
      <c r="S24" s="1198"/>
    </row>
    <row r="25" spans="2:19" s="609" customFormat="1" ht="15.75" customHeight="1" x14ac:dyDescent="0.2">
      <c r="B25" s="608">
        <v>12</v>
      </c>
      <c r="C25" s="1279" t="s">
        <v>172</v>
      </c>
      <c r="D25" s="1283" t="s">
        <v>489</v>
      </c>
      <c r="E25" s="1281">
        <v>20</v>
      </c>
      <c r="F25" s="1187"/>
      <c r="G25" s="606"/>
      <c r="H25" s="606"/>
      <c r="I25" s="606"/>
      <c r="J25" s="1189"/>
      <c r="K25" s="1184"/>
      <c r="L25" s="1185"/>
      <c r="M25" s="1186"/>
      <c r="N25" s="1325"/>
      <c r="O25" s="1169"/>
      <c r="P25" s="1329">
        <v>109</v>
      </c>
      <c r="Q25" s="1326"/>
      <c r="R25" s="1186" t="s">
        <v>489</v>
      </c>
      <c r="S25" s="1198"/>
    </row>
    <row r="26" spans="2:19" s="609" customFormat="1" ht="15.75" customHeight="1" x14ac:dyDescent="0.2">
      <c r="B26" s="608">
        <v>13</v>
      </c>
      <c r="C26" s="1279" t="s">
        <v>111</v>
      </c>
      <c r="D26" s="1283" t="s">
        <v>490</v>
      </c>
      <c r="E26" s="1281">
        <v>20</v>
      </c>
      <c r="F26" s="1187"/>
      <c r="G26" s="606"/>
      <c r="H26" s="606"/>
      <c r="I26" s="606"/>
      <c r="J26" s="1189"/>
      <c r="K26" s="1184"/>
      <c r="L26" s="1185"/>
      <c r="M26" s="1186"/>
      <c r="N26" s="1325"/>
      <c r="O26" s="1169"/>
      <c r="P26" s="1329">
        <v>140</v>
      </c>
      <c r="Q26" s="1326"/>
      <c r="R26" s="1186" t="s">
        <v>491</v>
      </c>
      <c r="S26" s="1198"/>
    </row>
    <row r="27" spans="2:19" s="90" customFormat="1" ht="15.75" customHeight="1" x14ac:dyDescent="0.2">
      <c r="B27" s="608">
        <v>14</v>
      </c>
      <c r="C27" s="1279" t="s">
        <v>189</v>
      </c>
      <c r="D27" s="1283" t="s">
        <v>492</v>
      </c>
      <c r="E27" s="1281">
        <v>60</v>
      </c>
      <c r="F27" s="1187"/>
      <c r="G27" s="606"/>
      <c r="H27" s="606"/>
      <c r="I27" s="606">
        <f t="shared" si="1"/>
        <v>0.06</v>
      </c>
      <c r="J27" s="1189">
        <f t="shared" si="2"/>
        <v>19.2</v>
      </c>
      <c r="K27" s="1184"/>
      <c r="L27" s="1185"/>
      <c r="M27" s="1186"/>
      <c r="N27" s="1325"/>
      <c r="O27" s="1169"/>
      <c r="P27" s="1329">
        <v>108</v>
      </c>
      <c r="Q27" s="1326"/>
      <c r="R27" s="1186" t="s">
        <v>493</v>
      </c>
      <c r="S27" s="1183"/>
    </row>
    <row r="28" spans="2:19" s="90" customFormat="1" ht="15.75" customHeight="1" x14ac:dyDescent="0.2">
      <c r="B28" s="608">
        <v>15</v>
      </c>
      <c r="C28" s="1279" t="s">
        <v>173</v>
      </c>
      <c r="D28" s="1283" t="s">
        <v>562</v>
      </c>
      <c r="E28" s="1281">
        <v>100</v>
      </c>
      <c r="F28" s="1187"/>
      <c r="G28" s="606"/>
      <c r="H28" s="606"/>
      <c r="I28" s="606">
        <f t="shared" si="1"/>
        <v>0.1</v>
      </c>
      <c r="J28" s="1189">
        <f t="shared" si="2"/>
        <v>32</v>
      </c>
      <c r="K28" s="1184"/>
      <c r="L28" s="1185">
        <v>5</v>
      </c>
      <c r="M28" s="1186"/>
      <c r="N28" s="1325"/>
      <c r="O28" s="1169"/>
      <c r="P28" s="1329"/>
      <c r="Q28" s="1326"/>
      <c r="R28" s="1209"/>
      <c r="S28" s="1183"/>
    </row>
    <row r="29" spans="2:19" s="90" customFormat="1" ht="15.75" customHeight="1" x14ac:dyDescent="0.2">
      <c r="B29" s="1284">
        <v>16</v>
      </c>
      <c r="C29" s="1294" t="s">
        <v>112</v>
      </c>
      <c r="D29" s="1280" t="s">
        <v>494</v>
      </c>
      <c r="E29" s="1281"/>
      <c r="F29" s="1187"/>
      <c r="G29" s="606"/>
      <c r="H29" s="606"/>
      <c r="I29" s="606"/>
      <c r="J29" s="1189"/>
      <c r="K29" s="1184"/>
      <c r="L29" s="1185"/>
      <c r="M29" s="1186"/>
      <c r="N29" s="1325">
        <v>60</v>
      </c>
      <c r="O29" s="1169">
        <v>3.6042000000000001</v>
      </c>
      <c r="P29" s="1329"/>
      <c r="Q29" s="1326"/>
      <c r="R29" s="1209" t="s">
        <v>495</v>
      </c>
      <c r="S29" s="1183"/>
    </row>
    <row r="30" spans="2:19" s="90" customFormat="1" ht="15.75" customHeight="1" x14ac:dyDescent="0.2">
      <c r="B30" s="1287"/>
      <c r="C30" s="1295"/>
      <c r="D30" s="1296"/>
      <c r="E30" s="1281">
        <v>70</v>
      </c>
      <c r="F30" s="1187"/>
      <c r="G30" s="606"/>
      <c r="H30" s="606"/>
      <c r="I30" s="606">
        <f t="shared" si="1"/>
        <v>7.0000000000000007E-2</v>
      </c>
      <c r="J30" s="1189">
        <f t="shared" si="2"/>
        <v>22.400000000000002</v>
      </c>
      <c r="K30" s="1184"/>
      <c r="L30" s="1185"/>
      <c r="M30" s="1186"/>
      <c r="N30" s="1325"/>
      <c r="O30" s="1169"/>
      <c r="P30" s="1329">
        <v>120</v>
      </c>
      <c r="Q30" s="1326">
        <v>36</v>
      </c>
      <c r="R30" s="1186" t="s">
        <v>494</v>
      </c>
      <c r="S30" s="1183"/>
    </row>
    <row r="31" spans="2:19" s="90" customFormat="1" ht="15.75" customHeight="1" x14ac:dyDescent="0.2">
      <c r="B31" s="1291"/>
      <c r="C31" s="1297"/>
      <c r="D31" s="1282"/>
      <c r="E31" s="1281"/>
      <c r="F31" s="1187"/>
      <c r="G31" s="606"/>
      <c r="H31" s="606"/>
      <c r="I31" s="606"/>
      <c r="J31" s="1189"/>
      <c r="K31" s="1184"/>
      <c r="L31" s="1185"/>
      <c r="M31" s="1186"/>
      <c r="N31" s="1325"/>
      <c r="O31" s="1169"/>
      <c r="P31" s="1330">
        <v>101</v>
      </c>
      <c r="Q31" s="1326" t="s">
        <v>496</v>
      </c>
      <c r="R31" s="1186" t="s">
        <v>497</v>
      </c>
      <c r="S31" s="1183"/>
    </row>
    <row r="32" spans="2:19" s="90" customFormat="1" ht="15.75" customHeight="1" x14ac:dyDescent="0.2">
      <c r="B32" s="608">
        <v>17</v>
      </c>
      <c r="C32" s="1298" t="s">
        <v>75</v>
      </c>
      <c r="D32" s="1283"/>
      <c r="E32" s="1281"/>
      <c r="F32" s="1187"/>
      <c r="G32" s="606"/>
      <c r="H32" s="606"/>
      <c r="I32" s="606"/>
      <c r="J32" s="1189"/>
      <c r="K32" s="1184"/>
      <c r="L32" s="1185"/>
      <c r="M32" s="1186"/>
      <c r="N32" s="1325"/>
      <c r="O32" s="1169"/>
      <c r="P32" s="1330">
        <v>21.6</v>
      </c>
      <c r="Q32" s="1326">
        <v>6.48</v>
      </c>
      <c r="R32" s="1186" t="s">
        <v>498</v>
      </c>
      <c r="S32" s="1183"/>
    </row>
    <row r="33" spans="2:19" s="90" customFormat="1" ht="15.75" customHeight="1" x14ac:dyDescent="0.2">
      <c r="B33" s="1284">
        <v>18</v>
      </c>
      <c r="C33" s="1294" t="s">
        <v>77</v>
      </c>
      <c r="D33" s="1280" t="s">
        <v>499</v>
      </c>
      <c r="E33" s="1281">
        <v>80</v>
      </c>
      <c r="F33" s="1187"/>
      <c r="G33" s="606"/>
      <c r="H33" s="606"/>
      <c r="I33" s="606">
        <f t="shared" si="1"/>
        <v>0.08</v>
      </c>
      <c r="J33" s="1189">
        <f t="shared" si="2"/>
        <v>25.6</v>
      </c>
      <c r="K33" s="1184"/>
      <c r="L33" s="1185"/>
      <c r="M33" s="1186"/>
      <c r="N33" s="1325"/>
      <c r="O33" s="1169"/>
      <c r="P33" s="1329">
        <v>220</v>
      </c>
      <c r="Q33" s="1326">
        <v>66</v>
      </c>
      <c r="R33" s="1186" t="s">
        <v>500</v>
      </c>
      <c r="S33" s="1183"/>
    </row>
    <row r="34" spans="2:19" s="90" customFormat="1" ht="15.75" customHeight="1" x14ac:dyDescent="0.2">
      <c r="B34" s="1291"/>
      <c r="C34" s="1297"/>
      <c r="D34" s="1282"/>
      <c r="E34" s="1281"/>
      <c r="F34" s="1187"/>
      <c r="G34" s="606"/>
      <c r="H34" s="606"/>
      <c r="I34" s="606"/>
      <c r="J34" s="1189"/>
      <c r="K34" s="1184"/>
      <c r="L34" s="1185"/>
      <c r="M34" s="1186"/>
      <c r="N34" s="1325"/>
      <c r="O34" s="1169"/>
      <c r="P34" s="1329">
        <v>107.5</v>
      </c>
      <c r="Q34" s="1326">
        <v>32.25</v>
      </c>
      <c r="R34" s="1186" t="s">
        <v>501</v>
      </c>
      <c r="S34" s="1183"/>
    </row>
    <row r="35" spans="2:19" s="90" customFormat="1" ht="15.75" customHeight="1" x14ac:dyDescent="0.2">
      <c r="B35" s="1284">
        <v>19</v>
      </c>
      <c r="C35" s="1294" t="s">
        <v>114</v>
      </c>
      <c r="D35" s="1280"/>
      <c r="E35" s="1281"/>
      <c r="F35" s="1187"/>
      <c r="G35" s="606"/>
      <c r="H35" s="606"/>
      <c r="I35" s="606"/>
      <c r="J35" s="1189"/>
      <c r="K35" s="1184"/>
      <c r="L35" s="1185"/>
      <c r="M35" s="1186"/>
      <c r="N35" s="1325"/>
      <c r="O35" s="1169"/>
      <c r="P35" s="1330">
        <v>81.2</v>
      </c>
      <c r="Q35" s="1326">
        <v>24.36</v>
      </c>
      <c r="R35" s="1313" t="s">
        <v>502</v>
      </c>
      <c r="S35" s="1183"/>
    </row>
    <row r="36" spans="2:19" s="90" customFormat="1" ht="15.75" customHeight="1" x14ac:dyDescent="0.2">
      <c r="B36" s="1291"/>
      <c r="C36" s="1297"/>
      <c r="D36" s="1282"/>
      <c r="E36" s="1281"/>
      <c r="F36" s="1187"/>
      <c r="G36" s="606"/>
      <c r="H36" s="606"/>
      <c r="I36" s="606"/>
      <c r="J36" s="1189"/>
      <c r="K36" s="1184"/>
      <c r="L36" s="1185"/>
      <c r="M36" s="1186"/>
      <c r="N36" s="1325"/>
      <c r="O36" s="1169"/>
      <c r="P36" s="1330">
        <v>84</v>
      </c>
      <c r="Q36" s="1326">
        <v>25.2</v>
      </c>
      <c r="R36" s="1313" t="s">
        <v>503</v>
      </c>
      <c r="S36" s="1183"/>
    </row>
    <row r="37" spans="2:19" s="90" customFormat="1" ht="15.75" customHeight="1" x14ac:dyDescent="0.2">
      <c r="B37" s="608">
        <v>20</v>
      </c>
      <c r="C37" s="1298" t="s">
        <v>122</v>
      </c>
      <c r="D37" s="1283" t="s">
        <v>504</v>
      </c>
      <c r="E37" s="1281">
        <v>30</v>
      </c>
      <c r="F37" s="1187"/>
      <c r="G37" s="606"/>
      <c r="H37" s="606"/>
      <c r="I37" s="606">
        <f t="shared" si="1"/>
        <v>0.03</v>
      </c>
      <c r="J37" s="1189">
        <f t="shared" si="2"/>
        <v>9.6</v>
      </c>
      <c r="K37" s="1184"/>
      <c r="L37" s="1185"/>
      <c r="M37" s="1186"/>
      <c r="N37" s="1325"/>
      <c r="O37" s="1169"/>
      <c r="P37" s="1330">
        <v>99.5</v>
      </c>
      <c r="Q37" s="1326">
        <v>29.85</v>
      </c>
      <c r="R37" s="1186" t="s">
        <v>504</v>
      </c>
      <c r="S37" s="1183"/>
    </row>
    <row r="38" spans="2:19" s="90" customFormat="1" ht="15.75" customHeight="1" x14ac:dyDescent="0.2">
      <c r="B38" s="1284">
        <v>21</v>
      </c>
      <c r="C38" s="1299" t="s">
        <v>117</v>
      </c>
      <c r="D38" s="1300" t="s">
        <v>505</v>
      </c>
      <c r="E38" s="1281">
        <v>80</v>
      </c>
      <c r="F38" s="1187"/>
      <c r="G38" s="606"/>
      <c r="H38" s="606"/>
      <c r="I38" s="606">
        <f t="shared" si="1"/>
        <v>0.08</v>
      </c>
      <c r="J38" s="1189">
        <f t="shared" si="2"/>
        <v>25.6</v>
      </c>
      <c r="K38" s="1184" t="s">
        <v>506</v>
      </c>
      <c r="L38" s="1185"/>
      <c r="M38" s="1186"/>
      <c r="N38" s="1325"/>
      <c r="O38" s="1169"/>
      <c r="P38" s="1330">
        <v>47</v>
      </c>
      <c r="Q38" s="1326">
        <v>14.1</v>
      </c>
      <c r="R38" s="1186" t="s">
        <v>507</v>
      </c>
      <c r="S38" s="1183"/>
    </row>
    <row r="39" spans="2:19" s="90" customFormat="1" ht="15.75" customHeight="1" x14ac:dyDescent="0.2">
      <c r="B39" s="1287"/>
      <c r="C39" s="1301"/>
      <c r="D39" s="1302"/>
      <c r="E39" s="1281"/>
      <c r="F39" s="1187"/>
      <c r="G39" s="606"/>
      <c r="H39" s="606"/>
      <c r="I39" s="606"/>
      <c r="J39" s="1189"/>
      <c r="K39" s="1184"/>
      <c r="L39" s="1185"/>
      <c r="M39" s="1186"/>
      <c r="N39" s="1325"/>
      <c r="O39" s="1169"/>
      <c r="P39" s="1330">
        <v>88.4</v>
      </c>
      <c r="Q39" s="1326">
        <v>26.52</v>
      </c>
      <c r="R39" s="1186" t="s">
        <v>508</v>
      </c>
      <c r="S39" s="1183"/>
    </row>
    <row r="40" spans="2:19" s="90" customFormat="1" ht="15.75" customHeight="1" x14ac:dyDescent="0.2">
      <c r="B40" s="1287"/>
      <c r="C40" s="1301"/>
      <c r="D40" s="1302"/>
      <c r="E40" s="1281"/>
      <c r="F40" s="1187"/>
      <c r="G40" s="606"/>
      <c r="H40" s="606"/>
      <c r="I40" s="606"/>
      <c r="J40" s="1189"/>
      <c r="K40" s="1184"/>
      <c r="L40" s="1185"/>
      <c r="M40" s="1186"/>
      <c r="N40" s="1325"/>
      <c r="O40" s="1169"/>
      <c r="P40" s="1330">
        <v>88.7</v>
      </c>
      <c r="Q40" s="1326">
        <v>26.61</v>
      </c>
      <c r="R40" s="1186" t="s">
        <v>509</v>
      </c>
      <c r="S40" s="1183"/>
    </row>
    <row r="41" spans="2:19" s="90" customFormat="1" ht="15.75" customHeight="1" x14ac:dyDescent="0.2">
      <c r="B41" s="1287"/>
      <c r="C41" s="1301"/>
      <c r="D41" s="1302"/>
      <c r="E41" s="1281"/>
      <c r="F41" s="1187"/>
      <c r="G41" s="606"/>
      <c r="H41" s="606"/>
      <c r="I41" s="606"/>
      <c r="J41" s="1189"/>
      <c r="K41" s="1184"/>
      <c r="L41" s="1185"/>
      <c r="M41" s="1186"/>
      <c r="N41" s="1325"/>
      <c r="O41" s="1169"/>
      <c r="P41" s="1331">
        <v>80</v>
      </c>
      <c r="Q41" s="1326"/>
      <c r="R41" s="1186"/>
      <c r="S41" s="1183"/>
    </row>
    <row r="42" spans="2:19" s="90" customFormat="1" ht="15.75" customHeight="1" x14ac:dyDescent="0.2">
      <c r="B42" s="1291"/>
      <c r="C42" s="1303"/>
      <c r="D42" s="1304"/>
      <c r="E42" s="1281"/>
      <c r="F42" s="1187"/>
      <c r="G42" s="606"/>
      <c r="H42" s="606"/>
      <c r="I42" s="606"/>
      <c r="J42" s="1189"/>
      <c r="K42" s="1184"/>
      <c r="L42" s="1185"/>
      <c r="M42" s="1186"/>
      <c r="N42" s="1325"/>
      <c r="O42" s="1169"/>
      <c r="P42" s="1331">
        <v>98</v>
      </c>
      <c r="Q42" s="1326">
        <v>63.275500000000001</v>
      </c>
      <c r="R42" s="1186" t="s">
        <v>510</v>
      </c>
      <c r="S42" s="1183"/>
    </row>
    <row r="43" spans="2:19" s="90" customFormat="1" ht="15.75" customHeight="1" x14ac:dyDescent="0.2">
      <c r="B43" s="608">
        <v>22</v>
      </c>
      <c r="C43" s="1298" t="s">
        <v>119</v>
      </c>
      <c r="D43" s="1283" t="s">
        <v>564</v>
      </c>
      <c r="E43" s="1281">
        <v>25</v>
      </c>
      <c r="F43" s="1187"/>
      <c r="G43" s="606"/>
      <c r="H43" s="606"/>
      <c r="I43" s="606">
        <f t="shared" si="1"/>
        <v>2.5000000000000001E-2</v>
      </c>
      <c r="J43" s="1189">
        <f t="shared" si="2"/>
        <v>8</v>
      </c>
      <c r="K43" s="1184"/>
      <c r="L43" s="1185"/>
      <c r="M43" s="1186"/>
      <c r="N43" s="1325"/>
      <c r="O43" s="1169"/>
      <c r="P43" s="1329"/>
      <c r="Q43" s="1326"/>
      <c r="R43" s="1186"/>
      <c r="S43" s="1183"/>
    </row>
    <row r="44" spans="2:19" s="90" customFormat="1" ht="15.75" customHeight="1" x14ac:dyDescent="0.2">
      <c r="B44" s="1284">
        <v>23</v>
      </c>
      <c r="C44" s="1294" t="s">
        <v>190</v>
      </c>
      <c r="D44" s="1283"/>
      <c r="E44" s="1281"/>
      <c r="F44" s="1187"/>
      <c r="G44" s="606"/>
      <c r="H44" s="606"/>
      <c r="I44" s="606"/>
      <c r="J44" s="1189"/>
      <c r="K44" s="1184"/>
      <c r="L44" s="1185"/>
      <c r="M44" s="1186"/>
      <c r="N44" s="1325"/>
      <c r="O44" s="1169"/>
      <c r="P44" s="1329">
        <v>157.30000000000001</v>
      </c>
      <c r="Q44" s="1326"/>
      <c r="R44" s="1186" t="s">
        <v>511</v>
      </c>
      <c r="S44" s="1183"/>
    </row>
    <row r="45" spans="2:19" s="90" customFormat="1" ht="15.75" customHeight="1" x14ac:dyDescent="0.2">
      <c r="B45" s="1291"/>
      <c r="C45" s="1297"/>
      <c r="D45" s="1283" t="s">
        <v>565</v>
      </c>
      <c r="E45" s="1281">
        <v>30</v>
      </c>
      <c r="F45" s="1187"/>
      <c r="G45" s="606"/>
      <c r="H45" s="606"/>
      <c r="I45" s="606">
        <f t="shared" si="1"/>
        <v>0.03</v>
      </c>
      <c r="J45" s="1189">
        <f t="shared" si="2"/>
        <v>9.6</v>
      </c>
      <c r="K45" s="1184" t="s">
        <v>512</v>
      </c>
      <c r="L45" s="1185"/>
      <c r="M45" s="1186"/>
      <c r="N45" s="1325"/>
      <c r="O45" s="1169"/>
      <c r="P45" s="1329">
        <v>35</v>
      </c>
      <c r="Q45" s="1326">
        <v>10.5</v>
      </c>
      <c r="R45" s="1186" t="s">
        <v>513</v>
      </c>
      <c r="S45" s="1183"/>
    </row>
    <row r="46" spans="2:19" s="90" customFormat="1" ht="15.75" customHeight="1" x14ac:dyDescent="0.2">
      <c r="B46" s="608">
        <v>24</v>
      </c>
      <c r="C46" s="1298" t="s">
        <v>121</v>
      </c>
      <c r="D46" s="1283" t="s">
        <v>566</v>
      </c>
      <c r="E46" s="1281">
        <v>30</v>
      </c>
      <c r="F46" s="1187"/>
      <c r="G46" s="606"/>
      <c r="H46" s="606"/>
      <c r="I46" s="606">
        <f t="shared" si="1"/>
        <v>0.03</v>
      </c>
      <c r="J46" s="1189">
        <f t="shared" si="2"/>
        <v>9.6</v>
      </c>
      <c r="K46" s="1184"/>
      <c r="L46" s="1185"/>
      <c r="M46" s="1186"/>
      <c r="N46" s="1325"/>
      <c r="O46" s="1169"/>
      <c r="P46" s="1329"/>
      <c r="Q46" s="1326"/>
      <c r="R46" s="1186"/>
      <c r="S46" s="1183"/>
    </row>
    <row r="47" spans="2:19" s="90" customFormat="1" ht="15.75" customHeight="1" x14ac:dyDescent="0.2">
      <c r="B47" s="1284">
        <v>25</v>
      </c>
      <c r="C47" s="1299" t="s">
        <v>174</v>
      </c>
      <c r="D47" s="1280" t="s">
        <v>567</v>
      </c>
      <c r="E47" s="1281">
        <v>90</v>
      </c>
      <c r="F47" s="1187"/>
      <c r="G47" s="606"/>
      <c r="H47" s="606"/>
      <c r="I47" s="606">
        <f t="shared" si="1"/>
        <v>0.09</v>
      </c>
      <c r="J47" s="1189">
        <f t="shared" si="2"/>
        <v>28.799999999999997</v>
      </c>
      <c r="K47" s="1184"/>
      <c r="L47" s="1185"/>
      <c r="M47" s="1186"/>
      <c r="N47" s="1325">
        <v>12</v>
      </c>
      <c r="O47" s="1169">
        <v>3.2688999999999999</v>
      </c>
      <c r="P47" s="1330"/>
      <c r="Q47" s="1326"/>
      <c r="R47" s="1186" t="s">
        <v>514</v>
      </c>
      <c r="S47" s="1183"/>
    </row>
    <row r="48" spans="2:19" s="90" customFormat="1" ht="15.75" customHeight="1" x14ac:dyDescent="0.2">
      <c r="B48" s="1287"/>
      <c r="C48" s="1301"/>
      <c r="D48" s="1296"/>
      <c r="E48" s="1281"/>
      <c r="F48" s="1187"/>
      <c r="G48" s="606"/>
      <c r="H48" s="606"/>
      <c r="I48" s="606"/>
      <c r="J48" s="1189"/>
      <c r="K48" s="1184"/>
      <c r="L48" s="1185"/>
      <c r="M48" s="1186"/>
      <c r="N48" s="1325"/>
      <c r="O48" s="1169"/>
      <c r="P48" s="1331">
        <v>47</v>
      </c>
      <c r="Q48" s="1326"/>
      <c r="R48" s="1186" t="s">
        <v>515</v>
      </c>
      <c r="S48" s="1183"/>
    </row>
    <row r="49" spans="2:19" s="90" customFormat="1" ht="15.75" customHeight="1" x14ac:dyDescent="0.2">
      <c r="B49" s="1291"/>
      <c r="C49" s="1303"/>
      <c r="D49" s="1282"/>
      <c r="E49" s="1281"/>
      <c r="F49" s="1187"/>
      <c r="G49" s="606"/>
      <c r="H49" s="606"/>
      <c r="I49" s="606"/>
      <c r="J49" s="1189"/>
      <c r="K49" s="1184"/>
      <c r="L49" s="1185"/>
      <c r="M49" s="1186"/>
      <c r="N49" s="1325"/>
      <c r="O49" s="1169"/>
      <c r="P49" s="1331">
        <v>243</v>
      </c>
      <c r="Q49" s="1326">
        <v>72.900000000000006</v>
      </c>
      <c r="R49" s="1186" t="s">
        <v>516</v>
      </c>
      <c r="S49" s="1183"/>
    </row>
    <row r="50" spans="2:19" s="90" customFormat="1" ht="15.75" customHeight="1" x14ac:dyDescent="0.2">
      <c r="B50" s="1284">
        <v>26</v>
      </c>
      <c r="C50" s="1294" t="s">
        <v>175</v>
      </c>
      <c r="D50" s="1283" t="s">
        <v>568</v>
      </c>
      <c r="E50" s="1281">
        <v>40</v>
      </c>
      <c r="F50" s="1187"/>
      <c r="G50" s="606"/>
      <c r="H50" s="606"/>
      <c r="I50" s="606">
        <f>E50/1000</f>
        <v>0.04</v>
      </c>
      <c r="J50" s="1189">
        <f>I50*320</f>
        <v>12.8</v>
      </c>
      <c r="K50" s="1184"/>
      <c r="L50" s="1185"/>
      <c r="M50" s="1186"/>
      <c r="N50" s="1325">
        <v>20</v>
      </c>
      <c r="O50" s="1169">
        <v>10.414199999999999</v>
      </c>
      <c r="P50" s="1329"/>
      <c r="Q50" s="1326"/>
      <c r="R50" s="1186" t="s">
        <v>517</v>
      </c>
      <c r="S50" s="1183"/>
    </row>
    <row r="51" spans="2:19" s="90" customFormat="1" ht="15.75" customHeight="1" x14ac:dyDescent="0.2">
      <c r="B51" s="1291"/>
      <c r="C51" s="1297"/>
      <c r="D51" s="1283"/>
      <c r="E51" s="1281"/>
      <c r="F51" s="1187"/>
      <c r="G51" s="606"/>
      <c r="H51" s="606"/>
      <c r="I51" s="606"/>
      <c r="J51" s="1189"/>
      <c r="K51" s="1184"/>
      <c r="L51" s="1185"/>
      <c r="M51" s="1186"/>
      <c r="N51" s="1325"/>
      <c r="O51" s="1169"/>
      <c r="P51" s="1330">
        <v>146</v>
      </c>
      <c r="Q51" s="1326">
        <v>43.8</v>
      </c>
      <c r="R51" s="1186" t="s">
        <v>518</v>
      </c>
      <c r="S51" s="1183"/>
    </row>
    <row r="52" spans="2:19" s="607" customFormat="1" ht="15.75" customHeight="1" x14ac:dyDescent="0.2">
      <c r="B52" s="608">
        <v>27</v>
      </c>
      <c r="C52" s="1298" t="s">
        <v>241</v>
      </c>
      <c r="D52" s="1283" t="s">
        <v>26</v>
      </c>
      <c r="E52" s="1281">
        <v>40</v>
      </c>
      <c r="F52" s="1187"/>
      <c r="G52" s="606"/>
      <c r="H52" s="606"/>
      <c r="I52" s="606">
        <f>E52/1000</f>
        <v>0.04</v>
      </c>
      <c r="J52" s="1189">
        <f>I52*320</f>
        <v>12.8</v>
      </c>
      <c r="K52" s="1184"/>
      <c r="L52" s="1185"/>
      <c r="M52" s="1186"/>
      <c r="N52" s="1325">
        <v>50</v>
      </c>
      <c r="O52" s="1169">
        <v>26.622900000000001</v>
      </c>
      <c r="P52" s="1329"/>
      <c r="Q52" s="1326"/>
      <c r="R52" s="1186" t="s">
        <v>519</v>
      </c>
      <c r="S52" s="1198"/>
    </row>
    <row r="53" spans="2:19" s="607" customFormat="1" ht="15.75" customHeight="1" x14ac:dyDescent="0.2">
      <c r="B53" s="1284">
        <v>28</v>
      </c>
      <c r="C53" s="1299" t="s">
        <v>128</v>
      </c>
      <c r="D53" s="1283"/>
      <c r="E53" s="1281"/>
      <c r="F53" s="1187"/>
      <c r="G53" s="606"/>
      <c r="H53" s="606"/>
      <c r="I53" s="606"/>
      <c r="J53" s="1189"/>
      <c r="K53" s="1184"/>
      <c r="L53" s="1185"/>
      <c r="M53" s="1186"/>
      <c r="N53" s="1325"/>
      <c r="O53" s="1169"/>
      <c r="P53" s="1329">
        <v>44.2</v>
      </c>
      <c r="Q53" s="1326"/>
      <c r="R53" s="1186" t="s">
        <v>520</v>
      </c>
      <c r="S53" s="1198"/>
    </row>
    <row r="54" spans="2:19" s="90" customFormat="1" ht="15.75" customHeight="1" x14ac:dyDescent="0.2">
      <c r="B54" s="1291"/>
      <c r="C54" s="1303"/>
      <c r="D54" s="1283" t="s">
        <v>569</v>
      </c>
      <c r="E54" s="1281">
        <v>50</v>
      </c>
      <c r="F54" s="1187"/>
      <c r="G54" s="606"/>
      <c r="H54" s="606"/>
      <c r="I54" s="606">
        <f>E54/1000</f>
        <v>0.05</v>
      </c>
      <c r="J54" s="1189">
        <f>I54*320</f>
        <v>16</v>
      </c>
      <c r="K54" s="1184"/>
      <c r="L54" s="1185"/>
      <c r="M54" s="1186"/>
      <c r="N54" s="1325">
        <v>30</v>
      </c>
      <c r="O54" s="1169">
        <v>1.8021</v>
      </c>
      <c r="P54" s="1329"/>
      <c r="Q54" s="1326"/>
      <c r="R54" s="1186" t="s">
        <v>521</v>
      </c>
      <c r="S54" s="1183"/>
    </row>
    <row r="55" spans="2:19" s="90" customFormat="1" ht="15.75" customHeight="1" x14ac:dyDescent="0.2">
      <c r="B55" s="608">
        <v>29</v>
      </c>
      <c r="C55" s="1279" t="s">
        <v>131</v>
      </c>
      <c r="D55" s="1283" t="s">
        <v>570</v>
      </c>
      <c r="E55" s="1281">
        <v>90</v>
      </c>
      <c r="F55" s="1187"/>
      <c r="G55" s="606"/>
      <c r="H55" s="606"/>
      <c r="I55" s="606">
        <f>E55/1000</f>
        <v>0.09</v>
      </c>
      <c r="J55" s="1189">
        <f>I55*320</f>
        <v>28.799999999999997</v>
      </c>
      <c r="K55" s="1184"/>
      <c r="L55" s="1185"/>
      <c r="M55" s="1186"/>
      <c r="N55" s="1325"/>
      <c r="O55" s="1169"/>
      <c r="P55" s="1329"/>
      <c r="Q55" s="1326"/>
      <c r="R55" s="1186"/>
      <c r="S55" s="1183"/>
    </row>
    <row r="56" spans="2:19" s="90" customFormat="1" ht="15.75" customHeight="1" x14ac:dyDescent="0.2">
      <c r="B56" s="1284">
        <v>30</v>
      </c>
      <c r="C56" s="1299" t="s">
        <v>177</v>
      </c>
      <c r="D56" s="1283"/>
      <c r="E56" s="1281"/>
      <c r="F56" s="1187"/>
      <c r="G56" s="606"/>
      <c r="H56" s="606"/>
      <c r="I56" s="606"/>
      <c r="J56" s="1189"/>
      <c r="K56" s="1184"/>
      <c r="L56" s="1185"/>
      <c r="M56" s="1186"/>
      <c r="N56" s="1325"/>
      <c r="O56" s="1169"/>
      <c r="P56" s="1329">
        <v>220</v>
      </c>
      <c r="Q56" s="1326"/>
      <c r="R56" s="1186" t="s">
        <v>522</v>
      </c>
      <c r="S56" s="1183"/>
    </row>
    <row r="57" spans="2:19" s="90" customFormat="1" ht="15.75" customHeight="1" x14ac:dyDescent="0.2">
      <c r="B57" s="1287"/>
      <c r="C57" s="1301"/>
      <c r="D57" s="1283"/>
      <c r="E57" s="1281"/>
      <c r="F57" s="1187"/>
      <c r="G57" s="606"/>
      <c r="H57" s="606"/>
      <c r="I57" s="606"/>
      <c r="J57" s="1189"/>
      <c r="K57" s="1184"/>
      <c r="L57" s="1185"/>
      <c r="M57" s="1186"/>
      <c r="N57" s="1325"/>
      <c r="O57" s="1169"/>
      <c r="P57" s="1329">
        <v>133.80000000000001</v>
      </c>
      <c r="Q57" s="1326"/>
      <c r="R57" s="1186" t="s">
        <v>523</v>
      </c>
      <c r="S57" s="1183"/>
    </row>
    <row r="58" spans="2:19" s="607" customFormat="1" ht="15.75" customHeight="1" x14ac:dyDescent="0.2">
      <c r="B58" s="1291"/>
      <c r="C58" s="1303"/>
      <c r="D58" s="1283" t="s">
        <v>524</v>
      </c>
      <c r="E58" s="1281">
        <v>40</v>
      </c>
      <c r="F58" s="1187"/>
      <c r="G58" s="606"/>
      <c r="H58" s="606"/>
      <c r="I58" s="606">
        <f t="shared" ref="I58:I67" si="3">E58/1000</f>
        <v>0.04</v>
      </c>
      <c r="J58" s="1189">
        <f t="shared" ref="J58:J67" si="4">I58*320</f>
        <v>12.8</v>
      </c>
      <c r="K58" s="1184"/>
      <c r="L58" s="1185"/>
      <c r="M58" s="1186"/>
      <c r="N58" s="1325">
        <v>42</v>
      </c>
      <c r="O58" s="1169">
        <v>2.5228999999999999</v>
      </c>
      <c r="P58" s="1329"/>
      <c r="Q58" s="1326"/>
      <c r="R58" s="1186" t="s">
        <v>525</v>
      </c>
      <c r="S58" s="1198"/>
    </row>
    <row r="59" spans="2:19" s="607" customFormat="1" ht="15.75" customHeight="1" x14ac:dyDescent="0.2">
      <c r="B59" s="608">
        <v>31</v>
      </c>
      <c r="C59" s="1279" t="s">
        <v>526</v>
      </c>
      <c r="D59" s="1283" t="s">
        <v>527</v>
      </c>
      <c r="E59" s="1281">
        <v>20</v>
      </c>
      <c r="F59" s="1187"/>
      <c r="G59" s="606"/>
      <c r="H59" s="606"/>
      <c r="I59" s="606">
        <f t="shared" si="3"/>
        <v>0.02</v>
      </c>
      <c r="J59" s="1189">
        <f t="shared" si="4"/>
        <v>6.4</v>
      </c>
      <c r="K59" s="1184"/>
      <c r="L59" s="1185"/>
      <c r="M59" s="1186"/>
      <c r="N59" s="1325"/>
      <c r="O59" s="1169"/>
      <c r="P59" s="1329"/>
      <c r="Q59" s="1326"/>
      <c r="R59" s="1186"/>
      <c r="S59" s="1198"/>
    </row>
    <row r="60" spans="2:19" s="90" customFormat="1" ht="15.75" customHeight="1" x14ac:dyDescent="0.2">
      <c r="B60" s="608">
        <v>32</v>
      </c>
      <c r="C60" s="1279" t="s">
        <v>248</v>
      </c>
      <c r="D60" s="1283" t="s">
        <v>528</v>
      </c>
      <c r="E60" s="1281">
        <v>20</v>
      </c>
      <c r="F60" s="1187"/>
      <c r="G60" s="606"/>
      <c r="H60" s="606"/>
      <c r="I60" s="606">
        <f t="shared" si="3"/>
        <v>0.02</v>
      </c>
      <c r="J60" s="1189">
        <f t="shared" si="4"/>
        <v>6.4</v>
      </c>
      <c r="K60" s="1184"/>
      <c r="L60" s="1185"/>
      <c r="M60" s="1186"/>
      <c r="N60" s="1325"/>
      <c r="O60" s="1169"/>
      <c r="P60" s="1329">
        <v>86.2</v>
      </c>
      <c r="Q60" s="1326"/>
      <c r="R60" s="1186" t="s">
        <v>529</v>
      </c>
      <c r="S60" s="1183"/>
    </row>
    <row r="61" spans="2:19" s="90" customFormat="1" ht="15.75" customHeight="1" x14ac:dyDescent="0.2">
      <c r="B61" s="608">
        <v>33</v>
      </c>
      <c r="C61" s="1279" t="s">
        <v>193</v>
      </c>
      <c r="D61" s="1283" t="s">
        <v>530</v>
      </c>
      <c r="E61" s="1281">
        <v>40</v>
      </c>
      <c r="F61" s="1187"/>
      <c r="G61" s="606"/>
      <c r="H61" s="606"/>
      <c r="I61" s="606">
        <f t="shared" si="3"/>
        <v>0.04</v>
      </c>
      <c r="J61" s="1189">
        <f t="shared" si="4"/>
        <v>12.8</v>
      </c>
      <c r="K61" s="1184"/>
      <c r="L61" s="1185"/>
      <c r="M61" s="1186"/>
      <c r="N61" s="1325"/>
      <c r="O61" s="1169"/>
      <c r="P61" s="1330">
        <v>135</v>
      </c>
      <c r="Q61" s="1326">
        <v>40.5</v>
      </c>
      <c r="R61" s="1186" t="s">
        <v>531</v>
      </c>
      <c r="S61" s="1183"/>
    </row>
    <row r="62" spans="2:19" s="90" customFormat="1" ht="15.75" customHeight="1" x14ac:dyDescent="0.2">
      <c r="B62" s="608">
        <v>34</v>
      </c>
      <c r="C62" s="1279" t="s">
        <v>133</v>
      </c>
      <c r="D62" s="1283" t="s">
        <v>532</v>
      </c>
      <c r="E62" s="1281">
        <v>40</v>
      </c>
      <c r="F62" s="1187"/>
      <c r="G62" s="606"/>
      <c r="H62" s="606"/>
      <c r="I62" s="606">
        <f t="shared" si="3"/>
        <v>0.04</v>
      </c>
      <c r="J62" s="606">
        <f t="shared" si="4"/>
        <v>12.8</v>
      </c>
      <c r="K62" s="1184"/>
      <c r="L62" s="1185"/>
      <c r="M62" s="1186"/>
      <c r="N62" s="1325"/>
      <c r="O62" s="1169"/>
      <c r="P62" s="1330">
        <v>85</v>
      </c>
      <c r="Q62" s="1326">
        <v>25.5</v>
      </c>
      <c r="R62" s="1186" t="s">
        <v>532</v>
      </c>
      <c r="S62" s="1183"/>
    </row>
    <row r="63" spans="2:19" s="90" customFormat="1" ht="15.75" customHeight="1" x14ac:dyDescent="0.2">
      <c r="B63" s="608">
        <v>35</v>
      </c>
      <c r="C63" s="1279" t="s">
        <v>261</v>
      </c>
      <c r="D63" s="1283" t="s">
        <v>503</v>
      </c>
      <c r="E63" s="1281">
        <v>20</v>
      </c>
      <c r="F63" s="1187"/>
      <c r="G63" s="606"/>
      <c r="H63" s="606"/>
      <c r="I63" s="606">
        <f t="shared" si="3"/>
        <v>0.02</v>
      </c>
      <c r="J63" s="606">
        <f t="shared" si="4"/>
        <v>6.4</v>
      </c>
      <c r="K63" s="1184"/>
      <c r="L63" s="1185"/>
      <c r="M63" s="1186"/>
      <c r="N63" s="1325"/>
      <c r="O63" s="1169"/>
      <c r="P63" s="1329">
        <v>49.9</v>
      </c>
      <c r="Q63" s="1326"/>
      <c r="R63" s="1186" t="s">
        <v>533</v>
      </c>
      <c r="S63" s="1183"/>
    </row>
    <row r="64" spans="2:19" s="90" customFormat="1" ht="18" customHeight="1" x14ac:dyDescent="0.2">
      <c r="B64" s="608">
        <v>36</v>
      </c>
      <c r="C64" s="1305" t="s">
        <v>253</v>
      </c>
      <c r="D64" s="1306" t="s">
        <v>571</v>
      </c>
      <c r="E64" s="1307">
        <v>60</v>
      </c>
      <c r="F64" s="1256"/>
      <c r="G64" s="1200"/>
      <c r="H64" s="1201"/>
      <c r="I64" s="1199">
        <f t="shared" si="3"/>
        <v>0.06</v>
      </c>
      <c r="J64" s="1202">
        <f t="shared" si="4"/>
        <v>19.2</v>
      </c>
      <c r="K64" s="1203" t="s">
        <v>534</v>
      </c>
      <c r="L64" s="1204">
        <v>50</v>
      </c>
      <c r="M64" s="1205" t="s">
        <v>535</v>
      </c>
      <c r="N64" s="1332"/>
      <c r="O64" s="1333"/>
      <c r="P64" s="1329">
        <v>43.4</v>
      </c>
      <c r="Q64" s="1326"/>
      <c r="R64" s="1186" t="s">
        <v>536</v>
      </c>
      <c r="S64" s="1183"/>
    </row>
    <row r="65" spans="2:19" s="90" customFormat="1" ht="15.75" customHeight="1" x14ac:dyDescent="0.2">
      <c r="B65" s="608">
        <v>37</v>
      </c>
      <c r="C65" s="1308" t="s">
        <v>334</v>
      </c>
      <c r="D65" s="1309" t="s">
        <v>537</v>
      </c>
      <c r="E65" s="1310">
        <v>160</v>
      </c>
      <c r="F65" s="1257"/>
      <c r="G65" s="1206"/>
      <c r="H65" s="1206"/>
      <c r="I65" s="1189">
        <f t="shared" si="3"/>
        <v>0.16</v>
      </c>
      <c r="J65" s="1189">
        <f t="shared" si="4"/>
        <v>51.2</v>
      </c>
      <c r="K65" s="1207"/>
      <c r="L65" s="1208"/>
      <c r="M65" s="1209"/>
      <c r="N65" s="1332"/>
      <c r="O65" s="1169"/>
      <c r="P65" s="1329"/>
      <c r="Q65" s="1326"/>
      <c r="R65" s="1186"/>
      <c r="S65" s="1183"/>
    </row>
    <row r="66" spans="2:19" s="90" customFormat="1" ht="15.75" customHeight="1" x14ac:dyDescent="0.2">
      <c r="B66" s="608">
        <v>38</v>
      </c>
      <c r="C66" s="1279" t="s">
        <v>136</v>
      </c>
      <c r="D66" s="1283" t="s">
        <v>538</v>
      </c>
      <c r="E66" s="1281">
        <v>120</v>
      </c>
      <c r="F66" s="1187"/>
      <c r="G66" s="606"/>
      <c r="H66" s="606"/>
      <c r="I66" s="606">
        <f t="shared" si="3"/>
        <v>0.12</v>
      </c>
      <c r="J66" s="606">
        <f t="shared" si="4"/>
        <v>38.4</v>
      </c>
      <c r="K66" s="1184"/>
      <c r="L66" s="1185"/>
      <c r="M66" s="1186"/>
      <c r="N66" s="1325"/>
      <c r="O66" s="1169"/>
      <c r="P66" s="1329">
        <v>314</v>
      </c>
      <c r="Q66" s="1326"/>
      <c r="R66" s="1186" t="s">
        <v>539</v>
      </c>
      <c r="S66" s="1183"/>
    </row>
    <row r="67" spans="2:19" s="90" customFormat="1" ht="15.75" customHeight="1" x14ac:dyDescent="0.2">
      <c r="B67" s="608">
        <v>39</v>
      </c>
      <c r="C67" s="1279" t="s">
        <v>94</v>
      </c>
      <c r="D67" s="1283" t="s">
        <v>95</v>
      </c>
      <c r="E67" s="1281">
        <v>20</v>
      </c>
      <c r="F67" s="1187"/>
      <c r="G67" s="606"/>
      <c r="H67" s="606"/>
      <c r="I67" s="606">
        <f t="shared" si="3"/>
        <v>0.02</v>
      </c>
      <c r="J67" s="606">
        <f t="shared" si="4"/>
        <v>6.4</v>
      </c>
      <c r="K67" s="1184"/>
      <c r="L67" s="1185"/>
      <c r="M67" s="1186"/>
      <c r="N67" s="1325"/>
      <c r="O67" s="1169"/>
      <c r="P67" s="1329">
        <v>28.4</v>
      </c>
      <c r="Q67" s="1326"/>
      <c r="R67" s="1186" t="s">
        <v>95</v>
      </c>
      <c r="S67" s="1183"/>
    </row>
    <row r="68" spans="2:19" s="90" customFormat="1" ht="15.75" customHeight="1" x14ac:dyDescent="0.2">
      <c r="B68" s="608">
        <v>40</v>
      </c>
      <c r="C68" s="1279" t="s">
        <v>183</v>
      </c>
      <c r="D68" s="1283" t="s">
        <v>540</v>
      </c>
      <c r="E68" s="1281">
        <v>20</v>
      </c>
      <c r="F68" s="1187"/>
      <c r="G68" s="606"/>
      <c r="H68" s="606"/>
      <c r="I68" s="606">
        <v>0.02</v>
      </c>
      <c r="J68" s="606">
        <v>6.4</v>
      </c>
      <c r="K68" s="1184"/>
      <c r="L68" s="1185"/>
      <c r="M68" s="1186"/>
      <c r="N68" s="1325"/>
      <c r="O68" s="1169"/>
      <c r="P68" s="1329"/>
      <c r="Q68" s="1326"/>
      <c r="R68" s="1186"/>
      <c r="S68" s="1183"/>
    </row>
    <row r="69" spans="2:19" s="90" customFormat="1" ht="15.75" customHeight="1" x14ac:dyDescent="0.2">
      <c r="B69" s="608">
        <v>41</v>
      </c>
      <c r="C69" s="1279" t="s">
        <v>182</v>
      </c>
      <c r="D69" s="1283" t="s">
        <v>541</v>
      </c>
      <c r="E69" s="1281">
        <v>20</v>
      </c>
      <c r="F69" s="1187"/>
      <c r="G69" s="606"/>
      <c r="H69" s="606"/>
      <c r="I69" s="606">
        <v>0.02</v>
      </c>
      <c r="J69" s="606">
        <v>6.4</v>
      </c>
      <c r="K69" s="1184"/>
      <c r="L69" s="1185">
        <v>20</v>
      </c>
      <c r="M69" s="1186" t="s">
        <v>542</v>
      </c>
      <c r="N69" s="1325"/>
      <c r="O69" s="1169"/>
      <c r="P69" s="1330">
        <v>28</v>
      </c>
      <c r="Q69" s="1326">
        <v>8.4</v>
      </c>
      <c r="R69" s="1186" t="s">
        <v>541</v>
      </c>
      <c r="S69" s="1183"/>
    </row>
    <row r="70" spans="2:19" s="90" customFormat="1" ht="15.75" customHeight="1" x14ac:dyDescent="0.2">
      <c r="B70" s="608">
        <v>42</v>
      </c>
      <c r="C70" s="1279" t="s">
        <v>299</v>
      </c>
      <c r="D70" s="1283" t="s">
        <v>528</v>
      </c>
      <c r="E70" s="1281">
        <v>10</v>
      </c>
      <c r="F70" s="1187"/>
      <c r="G70" s="606"/>
      <c r="H70" s="606"/>
      <c r="I70" s="606"/>
      <c r="J70" s="606"/>
      <c r="K70" s="1184"/>
      <c r="L70" s="1185"/>
      <c r="M70" s="1186"/>
      <c r="N70" s="1325"/>
      <c r="O70" s="1169"/>
      <c r="P70" s="1330">
        <v>56.4</v>
      </c>
      <c r="Q70" s="1326"/>
      <c r="R70" s="1186" t="s">
        <v>488</v>
      </c>
      <c r="S70" s="1183"/>
    </row>
    <row r="71" spans="2:19" s="90" customFormat="1" ht="15.75" customHeight="1" x14ac:dyDescent="0.2">
      <c r="B71" s="608">
        <v>43</v>
      </c>
      <c r="C71" s="1279" t="s">
        <v>384</v>
      </c>
      <c r="D71" s="1283" t="s">
        <v>536</v>
      </c>
      <c r="E71" s="1281">
        <v>30</v>
      </c>
      <c r="F71" s="1187"/>
      <c r="G71" s="606"/>
      <c r="H71" s="606"/>
      <c r="I71" s="606">
        <f>E71/1000</f>
        <v>0.03</v>
      </c>
      <c r="J71" s="606">
        <f t="shared" ref="J71:J75" si="5">I71*320</f>
        <v>9.6</v>
      </c>
      <c r="K71" s="1184"/>
      <c r="L71" s="1185"/>
      <c r="M71" s="1186"/>
      <c r="N71" s="1325"/>
      <c r="O71" s="1169"/>
      <c r="P71" s="1330">
        <v>29.6</v>
      </c>
      <c r="Q71" s="1326">
        <v>8.8800000000000008</v>
      </c>
      <c r="R71" s="1186" t="s">
        <v>541</v>
      </c>
      <c r="S71" s="1183"/>
    </row>
    <row r="72" spans="2:19" s="90" customFormat="1" ht="15.75" customHeight="1" x14ac:dyDescent="0.2">
      <c r="B72" s="608">
        <v>44</v>
      </c>
      <c r="C72" s="1279" t="s">
        <v>144</v>
      </c>
      <c r="D72" s="1283" t="s">
        <v>543</v>
      </c>
      <c r="E72" s="1281">
        <v>40</v>
      </c>
      <c r="F72" s="1187"/>
      <c r="G72" s="606"/>
      <c r="H72" s="606"/>
      <c r="I72" s="606">
        <f>E72/1000</f>
        <v>0.04</v>
      </c>
      <c r="J72" s="606">
        <f t="shared" si="5"/>
        <v>12.8</v>
      </c>
      <c r="K72" s="1184"/>
      <c r="L72" s="1185"/>
      <c r="M72" s="1186"/>
      <c r="N72" s="1325"/>
      <c r="O72" s="1169"/>
      <c r="P72" s="1330">
        <v>67</v>
      </c>
      <c r="Q72" s="1326">
        <v>20.100000000000001</v>
      </c>
      <c r="R72" s="1314">
        <v>57.6</v>
      </c>
      <c r="S72" s="1183"/>
    </row>
    <row r="73" spans="2:19" s="90" customFormat="1" ht="15.75" customHeight="1" x14ac:dyDescent="0.2">
      <c r="B73" s="608">
        <v>45</v>
      </c>
      <c r="C73" s="1279" t="s">
        <v>255</v>
      </c>
      <c r="D73" s="1283" t="s">
        <v>544</v>
      </c>
      <c r="E73" s="1281">
        <v>10</v>
      </c>
      <c r="F73" s="1187"/>
      <c r="G73" s="606"/>
      <c r="H73" s="606"/>
      <c r="I73" s="606">
        <f>E73/1000</f>
        <v>0.01</v>
      </c>
      <c r="J73" s="606">
        <f t="shared" si="5"/>
        <v>3.2</v>
      </c>
      <c r="K73" s="1210"/>
      <c r="L73" s="1211"/>
      <c r="M73" s="1212"/>
      <c r="N73" s="1334"/>
      <c r="O73" s="1335"/>
      <c r="P73" s="1336"/>
      <c r="Q73" s="1337"/>
      <c r="R73" s="1212"/>
      <c r="S73" s="1183"/>
    </row>
    <row r="74" spans="2:19" s="90" customFormat="1" ht="15.75" customHeight="1" x14ac:dyDescent="0.2">
      <c r="B74" s="608">
        <v>46</v>
      </c>
      <c r="C74" s="1279" t="s">
        <v>270</v>
      </c>
      <c r="D74" s="1283" t="s">
        <v>572</v>
      </c>
      <c r="E74" s="1281">
        <v>30</v>
      </c>
      <c r="F74" s="1187"/>
      <c r="G74" s="606"/>
      <c r="H74" s="606"/>
      <c r="I74" s="606">
        <f>E74/1000</f>
        <v>0.03</v>
      </c>
      <c r="J74" s="606">
        <f t="shared" si="5"/>
        <v>9.6</v>
      </c>
      <c r="K74" s="1184"/>
      <c r="L74" s="1185"/>
      <c r="M74" s="1186"/>
      <c r="N74" s="1325"/>
      <c r="O74" s="1169"/>
      <c r="P74" s="1330">
        <v>80</v>
      </c>
      <c r="Q74" s="1326">
        <v>24</v>
      </c>
      <c r="R74" s="1186" t="s">
        <v>545</v>
      </c>
      <c r="S74" s="1183"/>
    </row>
    <row r="75" spans="2:19" s="90" customFormat="1" ht="15.75" customHeight="1" thickBot="1" x14ac:dyDescent="0.25">
      <c r="B75" s="608">
        <v>47</v>
      </c>
      <c r="C75" s="1279" t="s">
        <v>258</v>
      </c>
      <c r="D75" s="1283" t="s">
        <v>546</v>
      </c>
      <c r="E75" s="1281">
        <v>40</v>
      </c>
      <c r="F75" s="1187"/>
      <c r="G75" s="606"/>
      <c r="H75" s="606"/>
      <c r="I75" s="606">
        <v>0.02</v>
      </c>
      <c r="J75" s="606">
        <f t="shared" si="5"/>
        <v>6.4</v>
      </c>
      <c r="K75" s="1184"/>
      <c r="L75" s="1185"/>
      <c r="M75" s="1186"/>
      <c r="N75" s="1325"/>
      <c r="O75" s="1169"/>
      <c r="P75" s="1330">
        <v>56.5</v>
      </c>
      <c r="Q75" s="1326">
        <v>16.95</v>
      </c>
      <c r="R75" s="1186" t="s">
        <v>546</v>
      </c>
      <c r="S75" s="1183"/>
    </row>
    <row r="76" spans="2:19" s="90" customFormat="1" ht="15.75" customHeight="1" thickBot="1" x14ac:dyDescent="0.25">
      <c r="B76" s="1341"/>
      <c r="C76" s="1347" t="s">
        <v>576</v>
      </c>
      <c r="D76" s="1342"/>
      <c r="E76" s="1343">
        <f>SUM(E10:E75)</f>
        <v>2850</v>
      </c>
      <c r="F76" s="1258">
        <f>E76*1.1/1000</f>
        <v>3.1350000000000007</v>
      </c>
      <c r="G76" s="1213">
        <f>SUM(G20:G75)</f>
        <v>0</v>
      </c>
      <c r="H76" s="1213"/>
      <c r="I76" s="1213">
        <f>E76/1000</f>
        <v>2.85</v>
      </c>
      <c r="J76" s="1213">
        <f>E76*320/1000</f>
        <v>912</v>
      </c>
      <c r="K76" s="1214"/>
      <c r="L76" s="1215"/>
      <c r="M76" s="1216"/>
      <c r="N76" s="1338">
        <f>SUM(N10:N75)</f>
        <v>339</v>
      </c>
      <c r="O76" s="1339">
        <f>SUM(O10:O75)</f>
        <v>67.259999999999991</v>
      </c>
      <c r="P76" s="1339">
        <f>SUM(P10:P75)</f>
        <v>6176.7999999999984</v>
      </c>
      <c r="Q76" s="1340">
        <f>SUM(Q10:Q75)</f>
        <v>892.17550000000006</v>
      </c>
      <c r="R76" s="1315"/>
      <c r="S76" s="1183"/>
    </row>
    <row r="77" spans="2:19" s="90" customFormat="1" ht="15.75" customHeight="1" thickBot="1" x14ac:dyDescent="0.25">
      <c r="B77" s="1344"/>
      <c r="C77" s="1348" t="s">
        <v>577</v>
      </c>
      <c r="D77" s="1345"/>
      <c r="E77" s="1346">
        <v>1300</v>
      </c>
      <c r="F77" s="1217"/>
      <c r="G77" s="1217"/>
      <c r="H77" s="1217"/>
      <c r="I77" s="1217"/>
      <c r="J77" s="1217"/>
      <c r="K77" s="1218"/>
      <c r="L77" s="1218"/>
      <c r="M77" s="1218"/>
      <c r="N77" s="1154"/>
      <c r="O77" s="1155"/>
      <c r="P77" s="1177"/>
      <c r="Q77" s="1156"/>
      <c r="R77" s="1216"/>
      <c r="S77" s="1183"/>
    </row>
    <row r="78" spans="2:19" s="90" customFormat="1" ht="15.75" customHeight="1" thickBot="1" x14ac:dyDescent="0.25">
      <c r="B78" s="1219"/>
      <c r="C78" s="1221" t="s">
        <v>573</v>
      </c>
      <c r="D78" s="1266"/>
      <c r="E78" s="1260"/>
      <c r="F78" s="1219"/>
      <c r="G78" s="1219"/>
      <c r="H78" s="1219"/>
      <c r="I78" s="1219"/>
      <c r="J78" s="1219"/>
      <c r="K78" s="1220"/>
      <c r="L78" s="1220"/>
      <c r="M78" s="1220"/>
      <c r="N78" s="1219"/>
      <c r="O78" s="1219"/>
      <c r="P78" s="1219"/>
      <c r="Q78" s="1219"/>
      <c r="R78" s="1316"/>
      <c r="S78" s="1183"/>
    </row>
    <row r="79" spans="2:19" s="90" customFormat="1" ht="15.75" customHeight="1" thickBot="1" x14ac:dyDescent="0.3">
      <c r="B79" s="1222" t="s">
        <v>6</v>
      </c>
      <c r="C79" s="1222" t="s">
        <v>7</v>
      </c>
      <c r="D79" s="1223" t="s">
        <v>459</v>
      </c>
      <c r="E79" s="1224" t="s">
        <v>198</v>
      </c>
      <c r="F79" s="1225" t="s">
        <v>198</v>
      </c>
      <c r="G79" s="1226" t="s">
        <v>10</v>
      </c>
      <c r="H79" s="1227" t="s">
        <v>460</v>
      </c>
      <c r="I79" s="1224" t="s">
        <v>461</v>
      </c>
      <c r="J79" s="1228" t="s">
        <v>462</v>
      </c>
      <c r="K79" s="1228" t="s">
        <v>212</v>
      </c>
      <c r="L79" s="1229"/>
      <c r="M79" s="1268"/>
      <c r="N79" s="1170" t="s">
        <v>463</v>
      </c>
      <c r="O79" s="1157"/>
      <c r="P79" s="1157"/>
      <c r="Q79" s="1158"/>
      <c r="R79" s="1317" t="s">
        <v>212</v>
      </c>
      <c r="S79" s="1183"/>
    </row>
    <row r="80" spans="2:19" s="90" customFormat="1" ht="15.75" x14ac:dyDescent="0.25">
      <c r="B80" s="1230"/>
      <c r="C80" s="1230"/>
      <c r="D80" s="1231"/>
      <c r="E80" s="1232"/>
      <c r="F80" s="1233"/>
      <c r="G80" s="1234"/>
      <c r="H80" s="1235"/>
      <c r="I80" s="1232"/>
      <c r="J80" s="1236"/>
      <c r="K80" s="1236"/>
      <c r="L80" s="1237"/>
      <c r="M80" s="1269"/>
      <c r="N80" s="1161" t="s">
        <v>10</v>
      </c>
      <c r="O80" s="1159"/>
      <c r="P80" s="1161" t="s">
        <v>317</v>
      </c>
      <c r="Q80" s="1160"/>
      <c r="R80" s="1318"/>
      <c r="S80" s="1183"/>
    </row>
    <row r="81" spans="2:19" s="90" customFormat="1" ht="18.75" customHeight="1" thickBot="1" x14ac:dyDescent="0.3">
      <c r="B81" s="1239"/>
      <c r="C81" s="1239"/>
      <c r="D81" s="1240"/>
      <c r="E81" s="1241" t="s">
        <v>464</v>
      </c>
      <c r="F81" s="1242" t="s">
        <v>465</v>
      </c>
      <c r="G81" s="1243" t="s">
        <v>464</v>
      </c>
      <c r="H81" s="1244" t="s">
        <v>212</v>
      </c>
      <c r="I81" s="1241" t="s">
        <v>466</v>
      </c>
      <c r="J81" s="1245"/>
      <c r="K81" s="1245"/>
      <c r="L81" s="1246"/>
      <c r="M81" s="1242"/>
      <c r="N81" s="1163" t="s">
        <v>468</v>
      </c>
      <c r="O81" s="1146" t="s">
        <v>414</v>
      </c>
      <c r="P81" s="1163" t="s">
        <v>467</v>
      </c>
      <c r="Q81" s="1162" t="s">
        <v>414</v>
      </c>
      <c r="R81" s="1319"/>
      <c r="S81" s="1183"/>
    </row>
    <row r="82" spans="2:19" s="90" customFormat="1" ht="15.75" x14ac:dyDescent="0.2">
      <c r="B82" s="605">
        <v>1</v>
      </c>
      <c r="C82" s="1262" t="s">
        <v>59</v>
      </c>
      <c r="D82" s="1265"/>
      <c r="E82" s="1188"/>
      <c r="F82" s="1187"/>
      <c r="G82" s="606"/>
      <c r="H82" s="606"/>
      <c r="I82" s="1189"/>
      <c r="J82" s="1189"/>
      <c r="K82" s="1247"/>
      <c r="L82" s="1191"/>
      <c r="M82" s="1270"/>
      <c r="N82" s="612">
        <v>6</v>
      </c>
      <c r="O82" s="610">
        <v>1.6344000000000001</v>
      </c>
      <c r="P82" s="1164"/>
      <c r="Q82" s="1165"/>
      <c r="R82" s="1320" t="s">
        <v>95</v>
      </c>
      <c r="S82" s="1183"/>
    </row>
    <row r="83" spans="2:19" s="90" customFormat="1" ht="15.75" x14ac:dyDescent="0.2">
      <c r="B83" s="605">
        <v>2</v>
      </c>
      <c r="C83" s="1264" t="s">
        <v>547</v>
      </c>
      <c r="D83" s="1265"/>
      <c r="E83" s="1188"/>
      <c r="F83" s="1187"/>
      <c r="G83" s="606"/>
      <c r="H83" s="606"/>
      <c r="I83" s="1189"/>
      <c r="J83" s="1189"/>
      <c r="K83" s="1248"/>
      <c r="L83" s="1185"/>
      <c r="M83" s="1271"/>
      <c r="N83" s="612">
        <v>16</v>
      </c>
      <c r="O83" s="610">
        <v>4.3585000000000003</v>
      </c>
      <c r="P83" s="612"/>
      <c r="Q83" s="611"/>
      <c r="R83" s="1186" t="s">
        <v>548</v>
      </c>
      <c r="S83" s="1183"/>
    </row>
    <row r="84" spans="2:19" s="90" customFormat="1" ht="15.75" x14ac:dyDescent="0.2">
      <c r="B84" s="605">
        <v>3</v>
      </c>
      <c r="C84" s="1263" t="s">
        <v>134</v>
      </c>
      <c r="D84" s="1267"/>
      <c r="E84" s="1259"/>
      <c r="F84" s="1255"/>
      <c r="G84" s="1193"/>
      <c r="H84" s="1193"/>
      <c r="I84" s="1189"/>
      <c r="J84" s="1189"/>
      <c r="K84" s="1249"/>
      <c r="L84" s="1185"/>
      <c r="M84" s="1271"/>
      <c r="N84" s="612">
        <v>60</v>
      </c>
      <c r="O84" s="610">
        <v>31.947500000000002</v>
      </c>
      <c r="P84" s="612"/>
      <c r="Q84" s="611"/>
      <c r="R84" s="1186" t="s">
        <v>549</v>
      </c>
      <c r="S84" s="1183"/>
    </row>
    <row r="85" spans="2:19" s="90" customFormat="1" ht="16.5" thickBot="1" x14ac:dyDescent="0.25">
      <c r="B85" s="605">
        <v>4</v>
      </c>
      <c r="C85" s="1264" t="s">
        <v>116</v>
      </c>
      <c r="D85" s="1267"/>
      <c r="E85" s="1259"/>
      <c r="F85" s="1255"/>
      <c r="G85" s="1193"/>
      <c r="H85" s="1193"/>
      <c r="I85" s="1189"/>
      <c r="J85" s="1189"/>
      <c r="K85" s="1249"/>
      <c r="L85" s="1185"/>
      <c r="M85" s="1271"/>
      <c r="N85" s="612">
        <v>30</v>
      </c>
      <c r="O85" s="610">
        <v>15.6213</v>
      </c>
      <c r="P85" s="612"/>
      <c r="Q85" s="611"/>
      <c r="R85" s="1186" t="s">
        <v>550</v>
      </c>
      <c r="S85" s="1183"/>
    </row>
    <row r="86" spans="2:19" s="90" customFormat="1" ht="16.5" thickBot="1" x14ac:dyDescent="0.3">
      <c r="B86" s="1250"/>
      <c r="C86" s="1251" t="s">
        <v>259</v>
      </c>
      <c r="D86" s="1261"/>
      <c r="E86" s="1261"/>
      <c r="F86" s="1251"/>
      <c r="G86" s="1251"/>
      <c r="H86" s="1251"/>
      <c r="I86" s="1251"/>
      <c r="J86" s="1252"/>
      <c r="K86" s="1251"/>
      <c r="L86" s="1251"/>
      <c r="M86" s="1251"/>
      <c r="N86" s="1272">
        <f>SUM(N82:N85)</f>
        <v>112</v>
      </c>
      <c r="O86" s="1166">
        <f>SUM(O82:O85)</f>
        <v>53.561700000000002</v>
      </c>
      <c r="P86" s="1274"/>
      <c r="Q86" s="1273"/>
      <c r="R86" s="1253"/>
      <c r="S86" s="1183"/>
    </row>
    <row r="87" spans="2:19" s="90" customFormat="1" ht="16.5" thickBot="1" x14ac:dyDescent="0.3">
      <c r="B87" s="1250"/>
      <c r="C87" s="1251" t="s">
        <v>561</v>
      </c>
      <c r="D87" s="1261"/>
      <c r="E87" s="1261"/>
      <c r="F87" s="1251"/>
      <c r="G87" s="1251"/>
      <c r="H87" s="1251"/>
      <c r="I87" s="1251"/>
      <c r="J87" s="1252"/>
      <c r="K87" s="1251"/>
      <c r="L87" s="1251"/>
      <c r="M87" s="1251"/>
      <c r="N87" s="1274">
        <f>N76+(P76/1000)+N86</f>
        <v>457.17680000000001</v>
      </c>
      <c r="O87" s="1166">
        <f>O76+Q76+O86</f>
        <v>1012.9972</v>
      </c>
      <c r="P87" s="1274"/>
      <c r="Q87" s="1273"/>
      <c r="R87" s="1253"/>
      <c r="S87" s="1183"/>
    </row>
    <row r="88" spans="2:19" s="90" customFormat="1" ht="16.5" hidden="1" thickBot="1" x14ac:dyDescent="0.3">
      <c r="B88" s="1250"/>
      <c r="C88" s="1251" t="s">
        <v>561</v>
      </c>
      <c r="D88" s="1261"/>
      <c r="E88" s="1261"/>
      <c r="F88" s="1251"/>
      <c r="G88" s="1251"/>
      <c r="H88" s="1251"/>
      <c r="I88" s="1251"/>
      <c r="J88" s="1252"/>
      <c r="K88" s="1251"/>
      <c r="L88" s="1251"/>
      <c r="M88" s="1251"/>
      <c r="N88" s="1274">
        <f t="shared" ref="N88:N99" si="6">N77+(P77/1000)+N87</f>
        <v>457.17680000000001</v>
      </c>
      <c r="O88" s="1166">
        <f t="shared" ref="O88:O99" si="7">O77+Q77+O87</f>
        <v>1012.9972</v>
      </c>
      <c r="P88" s="1274"/>
      <c r="Q88" s="1273"/>
      <c r="R88" s="1253"/>
    </row>
    <row r="89" spans="2:19" s="90" customFormat="1" ht="16.5" hidden="1" thickBot="1" x14ac:dyDescent="0.3">
      <c r="B89" s="1250"/>
      <c r="C89" s="1251" t="s">
        <v>561</v>
      </c>
      <c r="D89" s="1261"/>
      <c r="E89" s="1261"/>
      <c r="F89" s="1251"/>
      <c r="G89" s="1251"/>
      <c r="H89" s="1251"/>
      <c r="I89" s="1251"/>
      <c r="J89" s="1252"/>
      <c r="K89" s="1251"/>
      <c r="L89" s="1251"/>
      <c r="M89" s="1251"/>
      <c r="N89" s="1274">
        <f t="shared" si="6"/>
        <v>457.17680000000001</v>
      </c>
      <c r="O89" s="1166">
        <f t="shared" si="7"/>
        <v>1012.9972</v>
      </c>
      <c r="P89" s="1274"/>
      <c r="Q89" s="1273"/>
      <c r="R89" s="1253"/>
    </row>
    <row r="90" spans="2:19" s="90" customFormat="1" ht="16.5" hidden="1" thickBot="1" x14ac:dyDescent="0.3">
      <c r="B90" s="1250"/>
      <c r="C90" s="1251" t="s">
        <v>561</v>
      </c>
      <c r="D90" s="1261"/>
      <c r="E90" s="1261"/>
      <c r="F90" s="1251"/>
      <c r="G90" s="1251"/>
      <c r="H90" s="1251"/>
      <c r="I90" s="1251"/>
      <c r="J90" s="1252"/>
      <c r="K90" s="1251"/>
      <c r="L90" s="1251"/>
      <c r="M90" s="1251"/>
      <c r="N90" s="1274" t="e">
        <f t="shared" si="6"/>
        <v>#VALUE!</v>
      </c>
      <c r="O90" s="1166">
        <f t="shared" si="7"/>
        <v>1012.9972</v>
      </c>
      <c r="P90" s="1274"/>
      <c r="Q90" s="1273"/>
      <c r="R90" s="1253"/>
    </row>
    <row r="91" spans="2:19" s="90" customFormat="1" ht="16.5" hidden="1" thickBot="1" x14ac:dyDescent="0.3">
      <c r="B91" s="1250"/>
      <c r="C91" s="1251" t="s">
        <v>561</v>
      </c>
      <c r="D91" s="1261"/>
      <c r="E91" s="1261"/>
      <c r="F91" s="1251"/>
      <c r="G91" s="1251"/>
      <c r="H91" s="1251"/>
      <c r="I91" s="1251"/>
      <c r="J91" s="1252"/>
      <c r="K91" s="1251"/>
      <c r="L91" s="1251"/>
      <c r="M91" s="1251"/>
      <c r="N91" s="1274" t="e">
        <f t="shared" si="6"/>
        <v>#VALUE!</v>
      </c>
      <c r="O91" s="1166">
        <f t="shared" si="7"/>
        <v>1012.9972</v>
      </c>
      <c r="P91" s="1274"/>
      <c r="Q91" s="1273"/>
      <c r="R91" s="1253"/>
    </row>
    <row r="92" spans="2:19" s="90" customFormat="1" ht="16.5" hidden="1" thickBot="1" x14ac:dyDescent="0.3">
      <c r="B92" s="1250"/>
      <c r="C92" s="1251" t="s">
        <v>561</v>
      </c>
      <c r="D92" s="1261"/>
      <c r="E92" s="1261"/>
      <c r="F92" s="1251"/>
      <c r="G92" s="1251"/>
      <c r="H92" s="1251"/>
      <c r="I92" s="1251"/>
      <c r="J92" s="1252"/>
      <c r="K92" s="1251"/>
      <c r="L92" s="1251"/>
      <c r="M92" s="1251"/>
      <c r="N92" s="1274" t="e">
        <f t="shared" si="6"/>
        <v>#VALUE!</v>
      </c>
      <c r="O92" s="1166" t="e">
        <f t="shared" si="7"/>
        <v>#VALUE!</v>
      </c>
      <c r="P92" s="1274"/>
      <c r="Q92" s="1273"/>
      <c r="R92" s="1253"/>
    </row>
    <row r="93" spans="2:19" s="90" customFormat="1" ht="16.5" hidden="1" thickBot="1" x14ac:dyDescent="0.3">
      <c r="B93" s="1250"/>
      <c r="C93" s="1251" t="s">
        <v>561</v>
      </c>
      <c r="D93" s="1261"/>
      <c r="E93" s="1261"/>
      <c r="F93" s="1251"/>
      <c r="G93" s="1251"/>
      <c r="H93" s="1251"/>
      <c r="I93" s="1251"/>
      <c r="J93" s="1252"/>
      <c r="K93" s="1251"/>
      <c r="L93" s="1251"/>
      <c r="M93" s="1251"/>
      <c r="N93" s="1274" t="e">
        <f t="shared" si="6"/>
        <v>#VALUE!</v>
      </c>
      <c r="O93" s="1166" t="e">
        <f t="shared" si="7"/>
        <v>#VALUE!</v>
      </c>
      <c r="P93" s="1274"/>
      <c r="Q93" s="1273"/>
      <c r="R93" s="1253"/>
    </row>
    <row r="94" spans="2:19" s="90" customFormat="1" ht="16.5" hidden="1" thickBot="1" x14ac:dyDescent="0.3">
      <c r="B94" s="1250"/>
      <c r="C94" s="1251" t="s">
        <v>561</v>
      </c>
      <c r="D94" s="1261"/>
      <c r="E94" s="1261"/>
      <c r="F94" s="1251"/>
      <c r="G94" s="1251"/>
      <c r="H94" s="1251"/>
      <c r="I94" s="1251"/>
      <c r="J94" s="1252"/>
      <c r="K94" s="1251"/>
      <c r="L94" s="1251"/>
      <c r="M94" s="1251"/>
      <c r="N94" s="1274" t="e">
        <f t="shared" si="6"/>
        <v>#VALUE!</v>
      </c>
      <c r="O94" s="1166" t="e">
        <f t="shared" si="7"/>
        <v>#VALUE!</v>
      </c>
      <c r="P94" s="1274"/>
      <c r="Q94" s="1273"/>
      <c r="R94" s="1253"/>
    </row>
    <row r="95" spans="2:19" s="90" customFormat="1" ht="16.5" hidden="1" thickBot="1" x14ac:dyDescent="0.3">
      <c r="B95" s="1250"/>
      <c r="C95" s="1251" t="s">
        <v>561</v>
      </c>
      <c r="D95" s="1261"/>
      <c r="E95" s="1261"/>
      <c r="F95" s="1251"/>
      <c r="G95" s="1251"/>
      <c r="H95" s="1251"/>
      <c r="I95" s="1251"/>
      <c r="J95" s="1252"/>
      <c r="K95" s="1251"/>
      <c r="L95" s="1251"/>
      <c r="M95" s="1251"/>
      <c r="N95" s="1274" t="e">
        <f t="shared" si="6"/>
        <v>#VALUE!</v>
      </c>
      <c r="O95" s="1166" t="e">
        <f t="shared" si="7"/>
        <v>#VALUE!</v>
      </c>
      <c r="P95" s="1274"/>
      <c r="Q95" s="1273"/>
      <c r="R95" s="1253"/>
    </row>
    <row r="96" spans="2:19" s="90" customFormat="1" ht="16.5" hidden="1" thickBot="1" x14ac:dyDescent="0.3">
      <c r="B96" s="1250"/>
      <c r="C96" s="1251" t="s">
        <v>561</v>
      </c>
      <c r="D96" s="1261"/>
      <c r="E96" s="1261"/>
      <c r="F96" s="1251"/>
      <c r="G96" s="1251"/>
      <c r="H96" s="1251"/>
      <c r="I96" s="1251"/>
      <c r="J96" s="1252"/>
      <c r="K96" s="1251"/>
      <c r="L96" s="1251"/>
      <c r="M96" s="1251"/>
      <c r="N96" s="1274" t="e">
        <f t="shared" si="6"/>
        <v>#VALUE!</v>
      </c>
      <c r="O96" s="1166" t="e">
        <f t="shared" si="7"/>
        <v>#VALUE!</v>
      </c>
      <c r="P96" s="1274"/>
      <c r="Q96" s="1273"/>
      <c r="R96" s="1253"/>
    </row>
    <row r="97" spans="2:18" s="90" customFormat="1" ht="16.5" hidden="1" thickBot="1" x14ac:dyDescent="0.3">
      <c r="B97" s="1250"/>
      <c r="C97" s="1251" t="s">
        <v>561</v>
      </c>
      <c r="D97" s="1261"/>
      <c r="E97" s="1261"/>
      <c r="F97" s="1251"/>
      <c r="G97" s="1251"/>
      <c r="H97" s="1251"/>
      <c r="I97" s="1251"/>
      <c r="J97" s="1252"/>
      <c r="K97" s="1251"/>
      <c r="L97" s="1251"/>
      <c r="M97" s="1251"/>
      <c r="N97" s="1274" t="e">
        <f t="shared" si="6"/>
        <v>#VALUE!</v>
      </c>
      <c r="O97" s="1166" t="e">
        <f t="shared" si="7"/>
        <v>#VALUE!</v>
      </c>
      <c r="P97" s="1274"/>
      <c r="Q97" s="1273"/>
      <c r="R97" s="1253"/>
    </row>
    <row r="98" spans="2:18" s="90" customFormat="1" ht="16.5" hidden="1" thickBot="1" x14ac:dyDescent="0.3">
      <c r="B98" s="1250"/>
      <c r="C98" s="1251" t="s">
        <v>561</v>
      </c>
      <c r="D98" s="1261"/>
      <c r="E98" s="1261"/>
      <c r="F98" s="1251"/>
      <c r="G98" s="1251"/>
      <c r="H98" s="1251"/>
      <c r="I98" s="1251"/>
      <c r="J98" s="1252"/>
      <c r="K98" s="1251"/>
      <c r="L98" s="1251"/>
      <c r="M98" s="1251"/>
      <c r="N98" s="1274" t="e">
        <f t="shared" si="6"/>
        <v>#VALUE!</v>
      </c>
      <c r="O98" s="1166" t="e">
        <f t="shared" si="7"/>
        <v>#VALUE!</v>
      </c>
      <c r="P98" s="1274"/>
      <c r="Q98" s="1273"/>
      <c r="R98" s="1253"/>
    </row>
    <row r="99" spans="2:18" s="90" customFormat="1" ht="16.5" thickBot="1" x14ac:dyDescent="0.3">
      <c r="B99" s="1250"/>
      <c r="C99" s="1251" t="s">
        <v>575</v>
      </c>
      <c r="D99" s="1261"/>
      <c r="E99" s="1261"/>
      <c r="F99" s="1251"/>
      <c r="G99" s="1251"/>
      <c r="H99" s="1251"/>
      <c r="I99" s="1251"/>
      <c r="J99" s="1252"/>
      <c r="K99" s="1251"/>
      <c r="L99" s="1251"/>
      <c r="M99" s="1251"/>
      <c r="N99" s="1272">
        <f>N87+P76</f>
        <v>6633.9767999999985</v>
      </c>
      <c r="O99" s="1272">
        <f>O87+Q76</f>
        <v>1905.1727000000001</v>
      </c>
      <c r="P99" s="1274"/>
      <c r="Q99" s="1273"/>
      <c r="R99" s="1253"/>
    </row>
    <row r="100" spans="2:18" s="90" customFormat="1" x14ac:dyDescent="0.2">
      <c r="B100" s="116"/>
      <c r="J100" s="1167"/>
      <c r="R100" s="1168"/>
    </row>
    <row r="101" spans="2:18" s="90" customFormat="1" x14ac:dyDescent="0.2">
      <c r="B101" s="116"/>
      <c r="J101" s="1167"/>
      <c r="R101" s="1168"/>
    </row>
    <row r="102" spans="2:18" s="90" customFormat="1" x14ac:dyDescent="0.2">
      <c r="B102" s="116"/>
      <c r="J102" s="1167"/>
      <c r="R102" s="1168"/>
    </row>
    <row r="103" spans="2:18" s="90" customFormat="1" x14ac:dyDescent="0.2">
      <c r="B103" s="116"/>
      <c r="J103" s="1167"/>
      <c r="R103" s="1168"/>
    </row>
    <row r="104" spans="2:18" s="90" customFormat="1" x14ac:dyDescent="0.2">
      <c r="B104" s="116"/>
      <c r="J104" s="1167"/>
      <c r="R104" s="1168"/>
    </row>
    <row r="105" spans="2:18" s="90" customFormat="1" x14ac:dyDescent="0.2">
      <c r="B105" s="116"/>
      <c r="J105" s="1167"/>
      <c r="R105" s="1168"/>
    </row>
    <row r="106" spans="2:18" s="90" customFormat="1" x14ac:dyDescent="0.2">
      <c r="B106" s="116"/>
      <c r="J106" s="1167"/>
      <c r="R106" s="1168"/>
    </row>
    <row r="107" spans="2:18" s="90" customFormat="1" x14ac:dyDescent="0.2">
      <c r="B107" s="116"/>
      <c r="J107" s="1167"/>
      <c r="R107" s="1168"/>
    </row>
    <row r="108" spans="2:18" s="90" customFormat="1" x14ac:dyDescent="0.2">
      <c r="B108" s="116"/>
      <c r="J108" s="1167"/>
      <c r="R108" s="1168"/>
    </row>
    <row r="109" spans="2:18" s="90" customFormat="1" x14ac:dyDescent="0.2">
      <c r="B109" s="116"/>
      <c r="J109" s="1167"/>
      <c r="R109" s="1168"/>
    </row>
    <row r="110" spans="2:18" s="90" customFormat="1" x14ac:dyDescent="0.2">
      <c r="B110" s="116"/>
      <c r="J110" s="1167"/>
      <c r="R110" s="1168"/>
    </row>
    <row r="111" spans="2:18" s="90" customFormat="1" x14ac:dyDescent="0.2">
      <c r="B111" s="116"/>
      <c r="J111" s="1167"/>
      <c r="R111" s="1168"/>
    </row>
    <row r="112" spans="2:18" s="90" customFormat="1" x14ac:dyDescent="0.2">
      <c r="B112" s="116"/>
      <c r="J112" s="1167"/>
      <c r="R112" s="1168"/>
    </row>
    <row r="113" spans="2:18" s="90" customFormat="1" x14ac:dyDescent="0.2">
      <c r="B113" s="116"/>
      <c r="J113" s="1167"/>
      <c r="R113" s="1168"/>
    </row>
    <row r="114" spans="2:18" s="90" customFormat="1" x14ac:dyDescent="0.2">
      <c r="B114" s="116"/>
      <c r="J114" s="1167"/>
      <c r="R114" s="1168"/>
    </row>
    <row r="115" spans="2:18" s="90" customFormat="1" x14ac:dyDescent="0.2">
      <c r="B115" s="116"/>
      <c r="J115" s="1167"/>
      <c r="R115" s="1168"/>
    </row>
    <row r="116" spans="2:18" s="90" customFormat="1" x14ac:dyDescent="0.2">
      <c r="B116" s="116"/>
      <c r="J116" s="1167"/>
      <c r="R116" s="1168"/>
    </row>
    <row r="117" spans="2:18" s="90" customFormat="1" x14ac:dyDescent="0.2">
      <c r="B117" s="116"/>
      <c r="J117" s="1167"/>
      <c r="R117" s="1168"/>
    </row>
    <row r="118" spans="2:18" s="90" customFormat="1" x14ac:dyDescent="0.2">
      <c r="B118" s="116"/>
      <c r="J118" s="1167"/>
      <c r="R118" s="1168"/>
    </row>
    <row r="119" spans="2:18" s="90" customFormat="1" x14ac:dyDescent="0.2">
      <c r="B119" s="116"/>
      <c r="J119" s="1167"/>
      <c r="R119" s="1168"/>
    </row>
  </sheetData>
  <autoFilter ref="B9:R87"/>
  <mergeCells count="47">
    <mergeCell ref="B47:B49"/>
    <mergeCell ref="B50:B51"/>
    <mergeCell ref="B53:B54"/>
    <mergeCell ref="B56:B58"/>
    <mergeCell ref="B14:B19"/>
    <mergeCell ref="B29:B31"/>
    <mergeCell ref="B33:B34"/>
    <mergeCell ref="B35:B36"/>
    <mergeCell ref="B38:B42"/>
    <mergeCell ref="B44:B45"/>
    <mergeCell ref="J79:J81"/>
    <mergeCell ref="K79:K81"/>
    <mergeCell ref="N79:Q79"/>
    <mergeCell ref="R79:R81"/>
    <mergeCell ref="N80:O80"/>
    <mergeCell ref="P80:Q80"/>
    <mergeCell ref="C50:C51"/>
    <mergeCell ref="C53:C54"/>
    <mergeCell ref="C56:C58"/>
    <mergeCell ref="B79:B81"/>
    <mergeCell ref="C79:C81"/>
    <mergeCell ref="D79:D81"/>
    <mergeCell ref="C35:C36"/>
    <mergeCell ref="D35:D36"/>
    <mergeCell ref="C38:C42"/>
    <mergeCell ref="D38:D42"/>
    <mergeCell ref="C44:C45"/>
    <mergeCell ref="C47:C49"/>
    <mergeCell ref="D47:D49"/>
    <mergeCell ref="C14:C19"/>
    <mergeCell ref="D14:D19"/>
    <mergeCell ref="C29:C31"/>
    <mergeCell ref="D29:D31"/>
    <mergeCell ref="C33:C34"/>
    <mergeCell ref="D33:D34"/>
    <mergeCell ref="N6:R6"/>
    <mergeCell ref="N7:O7"/>
    <mergeCell ref="P7:Q7"/>
    <mergeCell ref="R7:R8"/>
    <mergeCell ref="D11:D12"/>
    <mergeCell ref="I1:J3"/>
    <mergeCell ref="B6:B8"/>
    <mergeCell ref="C6:C8"/>
    <mergeCell ref="D6:D8"/>
    <mergeCell ref="J6:J8"/>
    <mergeCell ref="K6:K8"/>
    <mergeCell ref="C4:Q5"/>
  </mergeCells>
  <pageMargins left="0.25" right="0.25" top="0.75" bottom="0.75" header="0.3" footer="0.3"/>
  <pageSetup paperSize="9" fitToHeight="3" orientation="landscape" r:id="rId1"/>
  <headerFooter differentFirst="1">
    <firstHeader>&amp;R"Утверждаю"
Генеральный директор
 ООО"ЖКС г.Ломоносова"
_____________Соловьев И.Е.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кровли-14</vt:lpstr>
      <vt:lpstr>вод-трубы-14</vt:lpstr>
      <vt:lpstr>Строп.сист.</vt:lpstr>
      <vt:lpstr>Изоляц. (2)</vt:lpstr>
      <vt:lpstr>Метел. двери-решетки-14</vt:lpstr>
      <vt:lpstr>окна- 14</vt:lpstr>
      <vt:lpstr>л.клетки -14 </vt:lpstr>
      <vt:lpstr>стыки-14</vt:lpstr>
      <vt:lpstr>'Изоляц. (2)'!Область_печати</vt:lpstr>
      <vt:lpstr>'стыки-14'!Область_печати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novikovaon</dc:creator>
  <cp:lastModifiedBy>novikovaon</cp:lastModifiedBy>
  <cp:lastPrinted>2015-05-28T06:58:28Z</cp:lastPrinted>
  <dcterms:created xsi:type="dcterms:W3CDTF">2015-05-27T11:53:21Z</dcterms:created>
  <dcterms:modified xsi:type="dcterms:W3CDTF">2015-05-28T07:18:35Z</dcterms:modified>
</cp:coreProperties>
</file>