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25545" windowHeight="11940" tabRatio="911" firstSheet="9" activeTab="20"/>
  </bookViews>
  <sheets>
    <sheet name="Приложение 1" sheetId="1" r:id="rId1"/>
    <sheet name="1 - КРОВЛИ" sheetId="2" r:id="rId2"/>
    <sheet name="2 - ТВР" sheetId="3" r:id="rId3"/>
    <sheet name="2.4 - ТВР-слух.ок." sheetId="4" r:id="rId4"/>
    <sheet name="2.5 - ТВР-в.канал" sheetId="5" r:id="rId5"/>
    <sheet name=" 3 - стыки" sheetId="6" r:id="rId6"/>
    <sheet name="4 - Фасады" sheetId="7" r:id="rId7"/>
    <sheet name="5 - Л.КЛ." sheetId="8" r:id="rId8"/>
    <sheet name="5 - ЛСП и РЕМ. КВ." sheetId="9" r:id="rId9"/>
    <sheet name="6 - Тех.помещ." sheetId="10" r:id="rId10"/>
    <sheet name="7 - полы МОП" sheetId="11" r:id="rId11"/>
    <sheet name="8 - в.-трубы" sheetId="12" r:id="rId12"/>
    <sheet name="10 - ОТМОСТКА" sheetId="13" r:id="rId13"/>
    <sheet name="11 - двери" sheetId="14" r:id="rId14"/>
    <sheet name="12 - Метал. двери-реш" sheetId="15" r:id="rId15"/>
    <sheet name="13 - ОКНА" sheetId="16" r:id="rId16"/>
    <sheet name="14 - козыр, балк,, крыл" sheetId="17" r:id="rId17"/>
    <sheet name="15 - мусор.пров" sheetId="18" r:id="rId18"/>
    <sheet name="18 - ПРИяМКИ" sheetId="19" r:id="rId19"/>
    <sheet name="19 - ДЕФЛЕКТ-в.канал" sheetId="20" r:id="rId20"/>
    <sheet name="д 1 - ЯЩИКИ и ЩИТЫ-16" sheetId="21" r:id="rId21"/>
  </sheets>
  <definedNames>
    <definedName name="_xlnm._FilterDatabase" localSheetId="1" hidden="1">'1 - КРОВЛИ'!$B$11:$J$66</definedName>
    <definedName name="_xlnm._FilterDatabase" localSheetId="12" hidden="1">'10 - ОТМОСТКА'!$C$8:$K$8</definedName>
    <definedName name="_xlnm._FilterDatabase" localSheetId="13" hidden="1">'11 - двери'!$B$10:$E$18</definedName>
    <definedName name="_xlnm._FilterDatabase" localSheetId="14" hidden="1">'12 - Метал. двери-реш'!$B$12:$K$44</definedName>
    <definedName name="_xlnm._FilterDatabase" localSheetId="15" hidden="1">'13 - ОКНА'!$B$12:$G$105</definedName>
    <definedName name="_xlnm._FilterDatabase" localSheetId="16" hidden="1">'14 - козыр, балк,, крыл'!$A$12:$R$12</definedName>
    <definedName name="_xlnm._FilterDatabase" localSheetId="19" hidden="1">'19 - ДЕФЛЕКТ-в.канал'!$B$14:$F$14</definedName>
    <definedName name="_xlnm._FilterDatabase" localSheetId="2" hidden="1">'2 - ТВР'!$A$15:$J$54</definedName>
    <definedName name="_xlnm._FilterDatabase" localSheetId="4" hidden="1">'2.5 - ТВР-в.канал'!$A$13:$E$37</definedName>
    <definedName name="_xlnm._FilterDatabase" localSheetId="6" hidden="1">'4 - Фасады'!$A$8:$M$63</definedName>
    <definedName name="_xlnm._FilterDatabase" localSheetId="7" hidden="1">'5 - Л.КЛ.'!$A$12:$W$38</definedName>
    <definedName name="_xlnm.Print_Titles" localSheetId="5">' 3 - стыки'!$11:$12</definedName>
    <definedName name="_xlnm.Print_Titles" localSheetId="1">'1 - КРОВЛИ'!$9:$10</definedName>
    <definedName name="_xlnm.Print_Titles" localSheetId="12">'10 - ОТМОСТКА'!$6:$7</definedName>
    <definedName name="_xlnm.Print_Titles" localSheetId="14">'12 - Метал. двери-реш'!$9:$11</definedName>
    <definedName name="_xlnm.Print_Titles" localSheetId="15">'13 - ОКНА'!$10:$11</definedName>
    <definedName name="_xlnm.Print_Titles" localSheetId="16">'14 - козыр, балк,, крыл'!$10:$11</definedName>
    <definedName name="_xlnm.Print_Titles" localSheetId="2">'2 - ТВР'!$12:$14</definedName>
    <definedName name="_xlnm.Print_Titles" localSheetId="6">'4 - Фасады'!$6:$7</definedName>
    <definedName name="_xlnm.Print_Titles" localSheetId="7">'5 - Л.КЛ.'!$8:$11</definedName>
    <definedName name="_xlnm.Print_Titles" localSheetId="11">'8 - в.-трубы'!$4:$5</definedName>
    <definedName name="_xlnm.Print_Titles" localSheetId="0">'Приложение 1'!$9:$11</definedName>
    <definedName name="_xlnm.Print_Area" localSheetId="5">' 3 - стыки'!$A$4:$G$48</definedName>
    <definedName name="_xlnm.Print_Area" localSheetId="1">'1 - КРОВЛИ'!$B$1:$J$70</definedName>
    <definedName name="_xlnm.Print_Area" localSheetId="12">'10 - ОТМОСТКА'!$A$2:$K$45</definedName>
    <definedName name="_xlnm.Print_Area" localSheetId="14">'12 - Метал. двери-реш'!$A$2:$K$45</definedName>
    <definedName name="_xlnm.Print_Area" localSheetId="15">'13 - ОКНА'!$A$1:$G$109</definedName>
    <definedName name="_xlnm.Print_Area" localSheetId="16">'14 - козыр, балк,, крыл'!$A$1:$Q$92</definedName>
    <definedName name="_xlnm.Print_Area" localSheetId="17">'15 - мусор.пров'!$A$1:$E$23</definedName>
    <definedName name="_xlnm.Print_Area" localSheetId="18">'18 - ПРИяМКИ'!$B$1:$G$49</definedName>
    <definedName name="_xlnm.Print_Area" localSheetId="19">'19 - ДЕФЛЕКТ-в.канал'!$A$1:$F$29</definedName>
    <definedName name="_xlnm.Print_Area" localSheetId="2">'2 - ТВР'!$A$1:$J$66</definedName>
    <definedName name="_xlnm.Print_Area" localSheetId="3">'2.4 - ТВР-слух.ок.'!$A$1:$F$29</definedName>
    <definedName name="_xlnm.Print_Area" localSheetId="4">'2.5 - ТВР-в.канал'!$A$1:$F$63</definedName>
    <definedName name="_xlnm.Print_Area" localSheetId="6">'4 - Фасады'!$A$1:$M$66</definedName>
    <definedName name="_xlnm.Print_Area" localSheetId="7">'5 - Л.КЛ.'!$A$1:$T$40</definedName>
    <definedName name="_xlnm.Print_Area" localSheetId="10">'7 - полы МОП'!$A$1:$I$52</definedName>
    <definedName name="_xlnm.Print_Area" localSheetId="11">'8 - в.-трубы'!$A$1:$H$71</definedName>
    <definedName name="_xlnm.Print_Area" localSheetId="0">'Приложение 1'!$A$2:$T$160</definedName>
  </definedNames>
  <calcPr fullCalcOnLoad="1"/>
</workbook>
</file>

<file path=xl/sharedStrings.xml><?xml version="1.0" encoding="utf-8"?>
<sst xmlns="http://schemas.openxmlformats.org/spreadsheetml/2006/main" count="2063" uniqueCount="894">
  <si>
    <t>Утверждаю</t>
  </si>
  <si>
    <t>Генеральный директор</t>
  </si>
  <si>
    <t>№
п/п</t>
  </si>
  <si>
    <t>Адрес</t>
  </si>
  <si>
    <t>кровля</t>
  </si>
  <si>
    <t>объем
м 2</t>
  </si>
  <si>
    <t>всего</t>
  </si>
  <si>
    <t>хоз.способ</t>
  </si>
  <si>
    <t>Примечания</t>
  </si>
  <si>
    <t>объем тыс. м 2</t>
  </si>
  <si>
    <t>стоимость
тыс. руб.</t>
  </si>
  <si>
    <t>Жесткая</t>
  </si>
  <si>
    <t>Александровская 36б</t>
  </si>
  <si>
    <t>Александровская 40</t>
  </si>
  <si>
    <t>смена покрытия</t>
  </si>
  <si>
    <t>Красного Флота 1а</t>
  </si>
  <si>
    <t>Красного Флота 7</t>
  </si>
  <si>
    <t>Красного Флота 9/46</t>
  </si>
  <si>
    <t>Сафронова 3</t>
  </si>
  <si>
    <t>Сафронова 3а</t>
  </si>
  <si>
    <t>Сафронова 4</t>
  </si>
  <si>
    <t>Сафронова 6</t>
  </si>
  <si>
    <t>Сафронова 10</t>
  </si>
  <si>
    <t>Итого жесткой :</t>
  </si>
  <si>
    <t>Мягкая</t>
  </si>
  <si>
    <t>Александровская 27</t>
  </si>
  <si>
    <t>Александровская 29</t>
  </si>
  <si>
    <t>Александровская 33</t>
  </si>
  <si>
    <t>Петровский 4</t>
  </si>
  <si>
    <t>Итого мягкой:</t>
  </si>
  <si>
    <t>Итого жесткая и мягкая:</t>
  </si>
  <si>
    <t xml:space="preserve">начальник ПТО </t>
  </si>
  <si>
    <t>Л. Д. Чирва</t>
  </si>
  <si>
    <t xml:space="preserve">Адресная программа текущего ремонта </t>
  </si>
  <si>
    <t xml:space="preserve"> по нормализации температурно-влажностного режима</t>
  </si>
  <si>
    <t>ООО "ЖКС г. Ломоносова"</t>
  </si>
  <si>
    <t>№</t>
  </si>
  <si>
    <t>Нормализация температурно-влажностного режима</t>
  </si>
  <si>
    <t>Примечание</t>
  </si>
  <si>
    <t>стоимость   тыс. руб.</t>
  </si>
  <si>
    <t>Покрытие фасонных частей верхней разводки теплоизоляционной краской</t>
  </si>
  <si>
    <t>Прочие работы (ремонт вентиляционных и дымоходов каналов и т.д.)</t>
  </si>
  <si>
    <t>тыс.руб.</t>
  </si>
  <si>
    <t>шт</t>
  </si>
  <si>
    <t>Дворцовый 34</t>
  </si>
  <si>
    <t>Дворцовый 36</t>
  </si>
  <si>
    <t>Еленинская 31</t>
  </si>
  <si>
    <t>Красного Флота 1б</t>
  </si>
  <si>
    <t>Красного Флота 3</t>
  </si>
  <si>
    <t>Красного Флота 5</t>
  </si>
  <si>
    <t>Сафронова 8</t>
  </si>
  <si>
    <t>итого:</t>
  </si>
  <si>
    <t>Чирва.Л. Д.</t>
  </si>
  <si>
    <t xml:space="preserve"> Генеральный директор</t>
  </si>
  <si>
    <t>штукатурка</t>
  </si>
  <si>
    <t>покраска</t>
  </si>
  <si>
    <t>хоз. способ</t>
  </si>
  <si>
    <t>подряд. способ</t>
  </si>
  <si>
    <t xml:space="preserve">объем
м 2
</t>
  </si>
  <si>
    <t xml:space="preserve">объем
м 2              
</t>
  </si>
  <si>
    <t xml:space="preserve">объем
т.м 2
</t>
  </si>
  <si>
    <t>хоз.
способ
м 2</t>
  </si>
  <si>
    <t>подряд.
способ
м 2</t>
  </si>
  <si>
    <t>тыс. м2</t>
  </si>
  <si>
    <t>тыс. руб.</t>
  </si>
  <si>
    <t>Александровская 36а</t>
  </si>
  <si>
    <t>Александровская 36в</t>
  </si>
  <si>
    <t>Александровская 43</t>
  </si>
  <si>
    <t>Иликовский 30</t>
  </si>
  <si>
    <t>Красного Флота 1</t>
  </si>
  <si>
    <t>Красного Флота 7а</t>
  </si>
  <si>
    <t>Победы 2</t>
  </si>
  <si>
    <t>ИТОГО:</t>
  </si>
  <si>
    <t xml:space="preserve">Начальник ПТО </t>
  </si>
  <si>
    <t>Чирва Л. Д.</t>
  </si>
  <si>
    <t>Адресная программа ремонта лестничных клеток жилых домов</t>
  </si>
  <si>
    <t>№ п\п</t>
  </si>
  <si>
    <t>этажность</t>
  </si>
  <si>
    <t>1 квартал</t>
  </si>
  <si>
    <t>2 квартал</t>
  </si>
  <si>
    <t>3 квартал</t>
  </si>
  <si>
    <t>4квартал</t>
  </si>
  <si>
    <t>л\кл</t>
  </si>
  <si>
    <t>стоимость</t>
  </si>
  <si>
    <t>в т.ч.</t>
  </si>
  <si>
    <t>л/клетки</t>
  </si>
  <si>
    <t>сумма</t>
  </si>
  <si>
    <t>л\клетки</t>
  </si>
  <si>
    <t>хоз.спос.</t>
  </si>
  <si>
    <t>подряд</t>
  </si>
  <si>
    <t>кол-во</t>
  </si>
  <si>
    <t>площ.</t>
  </si>
  <si>
    <t>т.руб</t>
  </si>
  <si>
    <t>т.руб.</t>
  </si>
  <si>
    <t>тыс.руб</t>
  </si>
  <si>
    <t>начальник ПТО</t>
  </si>
  <si>
    <t>воронки
шт.</t>
  </si>
  <si>
    <t>звенья
шт.</t>
  </si>
  <si>
    <t>колена
шт.</t>
  </si>
  <si>
    <t>отливы
шт.</t>
  </si>
  <si>
    <t>Александровская 31</t>
  </si>
  <si>
    <t>Александровская 45</t>
  </si>
  <si>
    <t>Сафронова 1</t>
  </si>
  <si>
    <t>Всего</t>
  </si>
  <si>
    <t>шт.</t>
  </si>
  <si>
    <t>хоз. сп.</t>
  </si>
  <si>
    <t>подр.сп.</t>
  </si>
  <si>
    <t>примечание</t>
  </si>
  <si>
    <t>м2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</si>
  <si>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</si>
  <si>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</si>
  <si>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</si>
  <si>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</si>
  <si>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</si>
  <si>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</si>
  <si>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</si>
  <si>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</si>
  <si>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</si>
  <si>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</si>
  <si>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</si>
  <si>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</si>
  <si>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</si>
  <si>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</si>
  <si>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Еленинская 21</t>
  </si>
  <si>
    <t>15</t>
  </si>
  <si>
    <t>16</t>
  </si>
  <si>
    <t>17</t>
  </si>
  <si>
    <t>18</t>
  </si>
  <si>
    <t>19</t>
  </si>
  <si>
    <t>20</t>
  </si>
  <si>
    <t>23</t>
  </si>
  <si>
    <t>24</t>
  </si>
  <si>
    <t>Итого:</t>
  </si>
  <si>
    <t>"Утверждаю"</t>
  </si>
  <si>
    <t>Санкт-Петербурга</t>
  </si>
  <si>
    <t xml:space="preserve">          "Согласовано"</t>
  </si>
  <si>
    <t>Заместитель главы Администрации</t>
  </si>
  <si>
    <t xml:space="preserve">Петродворцового района </t>
  </si>
  <si>
    <t>_______________ В. И. Горбачёв</t>
  </si>
  <si>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</si>
  <si>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</si>
  <si>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</si>
  <si>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</si>
  <si>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</si>
  <si>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</si>
  <si>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I.</t>
  </si>
  <si>
    <t>ОБЩЕСТРОИТЕЛЬНЫЕ РАБОТЫ</t>
  </si>
  <si>
    <t>Ремонт кровли (А.П.)</t>
  </si>
  <si>
    <t>т.кв.м</t>
  </si>
  <si>
    <t>в том числе,</t>
  </si>
  <si>
    <t>1.1</t>
  </si>
  <si>
    <t>жесткой</t>
  </si>
  <si>
    <t>1.2</t>
  </si>
  <si>
    <t>мягкой</t>
  </si>
  <si>
    <t>2.</t>
  </si>
  <si>
    <t>к-во домов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</si>
  <si>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</si>
  <si>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</si>
  <si>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</si>
  <si>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</si>
  <si>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</si>
  <si>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</si>
  <si>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2.4.</t>
  </si>
  <si>
    <t>Ремонт и замена слуховых окон</t>
  </si>
  <si>
    <t>2.5.</t>
  </si>
  <si>
    <t>Прочие работы (ремонт вентиляционных и дымоходных каналов и т.д.)</t>
  </si>
  <si>
    <t>т.п.м</t>
  </si>
  <si>
    <t>Ремонт и окраска фасадов</t>
  </si>
  <si>
    <t>л/кл</t>
  </si>
  <si>
    <t>Установка металлических дверей, решеток</t>
  </si>
  <si>
    <t>Ремонт печей</t>
  </si>
  <si>
    <t>II.</t>
  </si>
  <si>
    <t>САНИТАРНО-ТЕХНИЧЕСКИЕ РАБОТЫ</t>
  </si>
  <si>
    <t>в том числе:</t>
  </si>
  <si>
    <t>18.1</t>
  </si>
  <si>
    <t>ГВС</t>
  </si>
  <si>
    <t>т.п.м.</t>
  </si>
  <si>
    <t>18.2</t>
  </si>
  <si>
    <t>ХВС</t>
  </si>
  <si>
    <t>18.3</t>
  </si>
  <si>
    <t>теплоснабжения</t>
  </si>
  <si>
    <t>18.4</t>
  </si>
  <si>
    <t xml:space="preserve">систем канализации </t>
  </si>
  <si>
    <t>Замена отопительных приборов</t>
  </si>
  <si>
    <t>III.</t>
  </si>
  <si>
    <t>ЭЛЕКТРОМОНТАЖНЫЕ РАБОТЫ</t>
  </si>
  <si>
    <t>Ремонт ГРЩ ВУ, ВРУ, ЭЩ и т.д.</t>
  </si>
  <si>
    <t>IV.</t>
  </si>
  <si>
    <t>РАБОТЫ ВЫПОЛНЯЕМЫЕ СПЕЦИАЛИЗИРОВАННЫМИ ОРГАНИЗАЦИЯМИ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</si>
  <si>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</si>
  <si>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</si>
  <si>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</si>
  <si>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Установка урн</t>
  </si>
  <si>
    <t>Установка скамеек</t>
  </si>
  <si>
    <t xml:space="preserve">Снос деревьев </t>
  </si>
  <si>
    <t>Ремонт и замена вторичных сетей</t>
  </si>
  <si>
    <t>Осушение подвалов</t>
  </si>
  <si>
    <t>ед.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</si>
  <si>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</si>
  <si>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</si>
  <si>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</si>
  <si>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</si>
  <si>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</si>
  <si>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</si>
  <si>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</si>
  <si>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</si>
  <si>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</si>
  <si>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</si>
  <si>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</si>
  <si>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</si>
  <si>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</si>
  <si>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</si>
  <si>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</si>
  <si>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</si>
  <si>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16.1.3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</si>
  <si>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</si>
  <si>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</si>
  <si>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</si>
  <si>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</si>
  <si>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</si>
  <si>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</si>
  <si>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фасадов</t>
  </si>
  <si>
    <t>дворов</t>
  </si>
  <si>
    <t>арок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</si>
  <si>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</si>
  <si>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</si>
  <si>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</si>
  <si>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</si>
  <si>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</si>
  <si>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</si>
  <si>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</si>
  <si>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</si>
  <si>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</si>
  <si>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Генеральный директор ООО "ЖКС г. Ломоносова"</t>
  </si>
  <si>
    <t>Начальник планово экономического отдела</t>
  </si>
  <si>
    <t>Н. Г. Купцова</t>
  </si>
  <si>
    <t>Начальник ПТО</t>
  </si>
  <si>
    <t>Л. Д.Чирва</t>
  </si>
  <si>
    <t xml:space="preserve">Адресная программа </t>
  </si>
  <si>
    <t>№ квартир</t>
  </si>
  <si>
    <t>п.м.</t>
  </si>
  <si>
    <t>тыс. п.м.</t>
  </si>
  <si>
    <t>тыс.п.м</t>
  </si>
  <si>
    <t>Стоимость в тыс. руб.</t>
  </si>
  <si>
    <t>Иликовский 26а</t>
  </si>
  <si>
    <t>по периметру + лотки</t>
  </si>
  <si>
    <t>Дегтярёва, 27</t>
  </si>
  <si>
    <t>Дегтярёва, 25</t>
  </si>
  <si>
    <t>м.п.</t>
  </si>
  <si>
    <t>тыс. руб</t>
  </si>
  <si>
    <t>тыс. м.п.</t>
  </si>
  <si>
    <t>подряд.способ</t>
  </si>
  <si>
    <t>подр.способ</t>
  </si>
  <si>
    <t>объем 
м. п.</t>
  </si>
  <si>
    <t>Адресная программа текущего ремонта отмостки
ООО "ЖКС г. Ломоносова" на 2014 год</t>
  </si>
  <si>
    <t>Утверждаю
Генеральный директор                                                                                                                                                                                                                                                                                                                                                                                                                                                                                                                                                                                                                                                                                                                                      
ООО "ЖКС г. Ломоносова"
_____________Соловьев И.Е.</t>
  </si>
  <si>
    <t>Стоимость тыс. руб.</t>
  </si>
  <si>
    <t>подъезды</t>
  </si>
  <si>
    <t>п/п</t>
  </si>
  <si>
    <t xml:space="preserve">Итого: </t>
  </si>
  <si>
    <t>ВСЕГО:</t>
  </si>
  <si>
    <t>по ремонту балконов, лестниц, козырьков над входами</t>
  </si>
  <si>
    <t>Крыльца</t>
  </si>
  <si>
    <t>Козырьки</t>
  </si>
  <si>
    <t>балконы</t>
  </si>
  <si>
    <t>лестницы</t>
  </si>
  <si>
    <t xml:space="preserve"> тыс. руб.</t>
  </si>
  <si>
    <t>Федюнинского, 3, к. 1</t>
  </si>
  <si>
    <t>в т.р.</t>
  </si>
  <si>
    <t>№ пп</t>
  </si>
  <si>
    <t xml:space="preserve"> ООО"ЖКС г.Ломоносова"</t>
  </si>
  <si>
    <t>Дополнительно</t>
  </si>
  <si>
    <t>Федюнинского, 3, к. 2</t>
  </si>
  <si>
    <t>смета</t>
  </si>
  <si>
    <t>ямочный</t>
  </si>
  <si>
    <t>провалы</t>
  </si>
  <si>
    <t>выхода</t>
  </si>
  <si>
    <t>уклон</t>
  </si>
  <si>
    <t>30м уклон</t>
  </si>
  <si>
    <t>Федюнинского 5, к. 1</t>
  </si>
  <si>
    <t>________________ И. Е. Соловьёв</t>
  </si>
  <si>
    <t>1м2 = 2 300,00</t>
  </si>
  <si>
    <t>Александровская, 42 вторичка</t>
  </si>
  <si>
    <t>Еленинская, 9/1</t>
  </si>
  <si>
    <t>_________________Н.А. Дмитриева</t>
  </si>
  <si>
    <t>Текущий ремонт, выполняемый за счет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</si>
  <si>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</si>
  <si>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Текущий ремонт, выполняемый за счет средств М.О.</t>
  </si>
  <si>
    <t>Текущий ремонт, выполняемый за счет внебюджетных источников</t>
  </si>
  <si>
    <t>Платы населения 
(работы, выполняемые 
ОАО "Жилкомсервис")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</si>
  <si>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</si>
  <si>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</si>
  <si>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под.сп.</t>
  </si>
  <si>
    <t>1.3</t>
  </si>
  <si>
    <t>Нормализация ТВР чердачных помещений, (А.П.)  всего, в  том числе:</t>
  </si>
  <si>
    <t>Дополнительная теплоизоляция верхней разводки системы отопления (по всей разводке)</t>
  </si>
  <si>
    <t>Герметизация стыков стеновых панелей</t>
  </si>
  <si>
    <t>Косметический ремонт лестничных клеток (А.П.)</t>
  </si>
  <si>
    <t>Восстановление отделки стен, потолков технических помещений</t>
  </si>
  <si>
    <t>Замена, восстановление отдельных учасктов полов, ступеней МОП и технических помещений</t>
  </si>
  <si>
    <t xml:space="preserve">Замена водосточных труб </t>
  </si>
  <si>
    <t>Замена водосточных труб на антивандальные</t>
  </si>
  <si>
    <t xml:space="preserve">Ремонт отмостки 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</si>
  <si>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</si>
  <si>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</si>
  <si>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</si>
  <si>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</si>
  <si>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Устранение местных деформаций, усиление, восстановление поврежденных участков фундаментов</t>
  </si>
  <si>
    <t>тыс.кв.м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</si>
  <si>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</si>
  <si>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</si>
  <si>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внутридомовой системы вентиляции</t>
  </si>
  <si>
    <t>21</t>
  </si>
  <si>
    <t>Ремонт и восстановление разрушенных участков тротуаров, проездов, дорожек</t>
  </si>
  <si>
    <t>22</t>
  </si>
  <si>
    <t>Ремонт трубопроводов, всего, в том числе:</t>
  </si>
  <si>
    <t>22.1</t>
  </si>
  <si>
    <t>22.2</t>
  </si>
  <si>
    <t>22.3</t>
  </si>
  <si>
    <t>22.4</t>
  </si>
  <si>
    <t xml:space="preserve">Замена и ремонт эапорной арматуры систем Ц/О, ГВС, ХВС 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</si>
  <si>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</si>
  <si>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</si>
  <si>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</si>
  <si>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28</t>
  </si>
  <si>
    <t>29</t>
  </si>
  <si>
    <t>30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</si>
  <si>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</si>
  <si>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</si>
  <si>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</si>
  <si>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</si>
  <si>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</si>
  <si>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</si>
  <si>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</si>
  <si>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переклад</t>
  </si>
  <si>
    <t>колпак</t>
  </si>
  <si>
    <t xml:space="preserve"> вентиляционных и дымоходов каналов</t>
  </si>
  <si>
    <t>т.р.</t>
  </si>
  <si>
    <t>ср. за м2</t>
  </si>
  <si>
    <t>штук</t>
  </si>
  <si>
    <t>секции</t>
  </si>
  <si>
    <t>кв</t>
  </si>
  <si>
    <t>ПОЧТОВЫЕ  ЯЩИКИ</t>
  </si>
  <si>
    <t xml:space="preserve">ст-сть в т.р. </t>
  </si>
  <si>
    <t>ст-сть в т.р.</t>
  </si>
  <si>
    <t xml:space="preserve">Ст-сть
тыс. руб. </t>
  </si>
  <si>
    <t>Ст-сть
тыс. руб.</t>
  </si>
  <si>
    <t>стоимость     в т.р.</t>
  </si>
  <si>
    <t>л/клетка</t>
  </si>
  <si>
    <t>ремонт квартир</t>
  </si>
  <si>
    <t>карнизные свесы</t>
  </si>
  <si>
    <t>Александровская 42</t>
  </si>
  <si>
    <t>кол-во    шт.</t>
  </si>
  <si>
    <t>Объём финансирования в тыс. руб.</t>
  </si>
  <si>
    <t>м2 - штукат</t>
  </si>
  <si>
    <t>м2 - оголов</t>
  </si>
  <si>
    <t>Чирва Л.Д.</t>
  </si>
  <si>
    <t xml:space="preserve">Ремонт и замена слуховых окон       </t>
  </si>
  <si>
    <t>Сумма в т.р.</t>
  </si>
  <si>
    <t>Сумма</t>
  </si>
  <si>
    <t>в т.р</t>
  </si>
  <si>
    <t>Всего:</t>
  </si>
  <si>
    <t>ремонт балконов</t>
  </si>
  <si>
    <t>ремонт крыльцы</t>
  </si>
  <si>
    <t>ремонт ступеней</t>
  </si>
  <si>
    <t>ремонт козырька</t>
  </si>
  <si>
    <t>т.шт.</t>
  </si>
  <si>
    <t>(ремонт вентиляционных и дымоходных каналов и т.д.)</t>
  </si>
  <si>
    <t>Прочие работы</t>
  </si>
  <si>
    <t>Ремонт и замена слуховых окон (шт.)</t>
  </si>
  <si>
    <t>Утепление (засыпка) чердачного помещения (в куб, м)</t>
  </si>
  <si>
    <t>стоимость  (тыс. руб.)</t>
  </si>
  <si>
    <t>Дополнительная теплоизоляция верхней разводки системы (по всей разводке)  (п.м.)</t>
  </si>
  <si>
    <t>стоимость   (тыс. руб.)</t>
  </si>
  <si>
    <t>подр. способ</t>
  </si>
  <si>
    <t xml:space="preserve">           Директор ГКУ "ЖА </t>
  </si>
  <si>
    <t xml:space="preserve">           Петродворцового района </t>
  </si>
  <si>
    <t xml:space="preserve">           Санкт-Петербурга"</t>
  </si>
  <si>
    <t>Усиление элементов деревянной строп. системы</t>
  </si>
  <si>
    <t>Адресная программа текущего ремонта отмостки</t>
  </si>
  <si>
    <t>Швейцарская 16/1</t>
  </si>
  <si>
    <t>_________________________2016г.</t>
  </si>
  <si>
    <t>__________ В.Н.Шмелева</t>
  </si>
  <si>
    <t>В.Н. Шмелева</t>
  </si>
  <si>
    <t>чердачных помещений многоквартирных домов на 2016 год</t>
  </si>
  <si>
    <t>текущего ремонта кровель на 2016 год ООО "ЖКС г. Ломоносова"</t>
  </si>
  <si>
    <t>жесткая</t>
  </si>
  <si>
    <t>Александровская36б</t>
  </si>
  <si>
    <t>2п 1-2эт</t>
  </si>
  <si>
    <t>парапетное ограждение</t>
  </si>
  <si>
    <t>1п 1эт</t>
  </si>
  <si>
    <t>1п</t>
  </si>
  <si>
    <t>Красного флота 1а</t>
  </si>
  <si>
    <t>Красного флота 1б</t>
  </si>
  <si>
    <t>Красного флота 3</t>
  </si>
  <si>
    <t>Красного флота 5</t>
  </si>
  <si>
    <t>Красного флота 9/46</t>
  </si>
  <si>
    <t>оголовки</t>
  </si>
  <si>
    <t>по периметру</t>
  </si>
  <si>
    <t>протечки</t>
  </si>
  <si>
    <t>2,3п</t>
  </si>
  <si>
    <t>цоколь</t>
  </si>
  <si>
    <t>фасад</t>
  </si>
  <si>
    <t>кв 5</t>
  </si>
  <si>
    <t>0,5х,035</t>
  </si>
  <si>
    <t>ИНФОРМАЦИОННЫЕ ЩИТЫ (доски объявлений)</t>
  </si>
  <si>
    <t>ямочный ремонт</t>
  </si>
  <si>
    <t>подвал (спуск)</t>
  </si>
  <si>
    <t xml:space="preserve">входная зона   1,2п  </t>
  </si>
  <si>
    <t>Номерные знаки</t>
  </si>
  <si>
    <t>1-20, 21-10, 41-60, 61-80</t>
  </si>
  <si>
    <t>решетка (спуск в подвал)</t>
  </si>
  <si>
    <t>восст кирп.кладки</t>
  </si>
  <si>
    <t>ремонт приямков</t>
  </si>
  <si>
    <t>подступ.,торцы 1п</t>
  </si>
  <si>
    <t>кв33</t>
  </si>
  <si>
    <t>1эт 3п</t>
  </si>
  <si>
    <t>1-18, 19-38, 38-56</t>
  </si>
  <si>
    <t>Еленинская 29</t>
  </si>
  <si>
    <t>1,2п до 2 эт</t>
  </si>
  <si>
    <t>укр.дерев.поруч.,рем.ограж. 3п1-2эт</t>
  </si>
  <si>
    <t>Еленинская 27/10</t>
  </si>
  <si>
    <t>оголов.колпаки</t>
  </si>
  <si>
    <t>колпаки</t>
  </si>
  <si>
    <t>1-16, 17-32</t>
  </si>
  <si>
    <t>Дворцовый 32</t>
  </si>
  <si>
    <t>тамбур 1эт</t>
  </si>
  <si>
    <t>Рубактна 12</t>
  </si>
  <si>
    <t>Рубакина 12</t>
  </si>
  <si>
    <t>Дворцовый 59</t>
  </si>
  <si>
    <t>2п</t>
  </si>
  <si>
    <t>Дворцовый 55/8</t>
  </si>
  <si>
    <t>оголовки штук.</t>
  </si>
  <si>
    <t>фасад -карниз</t>
  </si>
  <si>
    <t>1,2,п  1эт. + тамбер</t>
  </si>
  <si>
    <t>восст.кирп.кладки</t>
  </si>
  <si>
    <t>ступени</t>
  </si>
  <si>
    <t>Дворцовый 53</t>
  </si>
  <si>
    <t>Дворцовый 51</t>
  </si>
  <si>
    <t>Кронштадтская 7</t>
  </si>
  <si>
    <t>Дворцовый 49</t>
  </si>
  <si>
    <t>восст.штукатурки</t>
  </si>
  <si>
    <t>Кронштадтская 6/49</t>
  </si>
  <si>
    <t>герметиз</t>
  </si>
  <si>
    <t>1 Нижняя 5</t>
  </si>
  <si>
    <t>желоба</t>
  </si>
  <si>
    <t>Кронштадтская 4</t>
  </si>
  <si>
    <t>штук.в/каналы</t>
  </si>
  <si>
    <t>ямочный  ремонт</t>
  </si>
  <si>
    <t>герметиз 4п</t>
  </si>
  <si>
    <t>кв 41</t>
  </si>
  <si>
    <t>Кронштадтская 4а</t>
  </si>
  <si>
    <t>1 Нижняя 1</t>
  </si>
  <si>
    <t>Ломоносова 2</t>
  </si>
  <si>
    <t>Дворцовый 43/6</t>
  </si>
  <si>
    <t>фасад (1эт - 5м2, 3эт - 4,5м2)</t>
  </si>
  <si>
    <t>цоколь (цем.молочком)</t>
  </si>
  <si>
    <t>Дворцовый 31</t>
  </si>
  <si>
    <t>фасад (3 эт)</t>
  </si>
  <si>
    <t>Черникова 22</t>
  </si>
  <si>
    <t>Токарева 18а</t>
  </si>
  <si>
    <t>1-15,16-30,31-45,46-60</t>
  </si>
  <si>
    <t>Токарева 8</t>
  </si>
  <si>
    <t>фасад 1п  1-2эт  (9,7х1,5)</t>
  </si>
  <si>
    <t>1-8, 9-16</t>
  </si>
  <si>
    <t>герм.штук.1-2п</t>
  </si>
  <si>
    <t>Пулеметчиков 20</t>
  </si>
  <si>
    <t>восст.кирп.кладки, штукат.</t>
  </si>
  <si>
    <t>Пулеметчиков 20а</t>
  </si>
  <si>
    <t>Александровская 5</t>
  </si>
  <si>
    <t>Владимирская 21</t>
  </si>
  <si>
    <t>ппр цоколь</t>
  </si>
  <si>
    <t>Владимирская 23</t>
  </si>
  <si>
    <t>Владимирская 25</t>
  </si>
  <si>
    <t>1 п.</t>
  </si>
  <si>
    <t>Владиимирская 25</t>
  </si>
  <si>
    <t>1-4п., 3 зап.выхода.</t>
  </si>
  <si>
    <t>колонны в арке (3шт)</t>
  </si>
  <si>
    <t>Влдимирская 27</t>
  </si>
  <si>
    <t>Владиимирская 27</t>
  </si>
  <si>
    <t>2п -выход</t>
  </si>
  <si>
    <t>Михайловская 18а</t>
  </si>
  <si>
    <t>ппр</t>
  </si>
  <si>
    <t>Иликовский 28</t>
  </si>
  <si>
    <t>Иликовский 30/2</t>
  </si>
  <si>
    <t>Победы 15</t>
  </si>
  <si>
    <t>Победы 19</t>
  </si>
  <si>
    <t>Победы 20 к.1</t>
  </si>
  <si>
    <t>Победы 21</t>
  </si>
  <si>
    <t>цоколь  2п.</t>
  </si>
  <si>
    <t>ВСЕГО</t>
  </si>
  <si>
    <t>7,8п</t>
  </si>
  <si>
    <t>Победы 21а</t>
  </si>
  <si>
    <t>1 спуск</t>
  </si>
  <si>
    <t>Победы 23</t>
  </si>
  <si>
    <t>1-4п</t>
  </si>
  <si>
    <t>Швейцарская 14</t>
  </si>
  <si>
    <t>1,2п</t>
  </si>
  <si>
    <t>мягкая</t>
  </si>
  <si>
    <t>кв 60- 4п</t>
  </si>
  <si>
    <t>Швейцарская 18/1</t>
  </si>
  <si>
    <t>Михайловская 24/22</t>
  </si>
  <si>
    <t>цоколь ППР 2015</t>
  </si>
  <si>
    <t>вх в ИТП</t>
  </si>
  <si>
    <t>Ораниенбаумский 39 к.2</t>
  </si>
  <si>
    <t>подвал - замена, чердак - замена</t>
  </si>
  <si>
    <t>лифт.кабины</t>
  </si>
  <si>
    <t>Федюнинского 14 к.2</t>
  </si>
  <si>
    <t>Федюнинского 14 к.1</t>
  </si>
  <si>
    <t>Федюнинского 16</t>
  </si>
  <si>
    <t>шибер</t>
  </si>
  <si>
    <t>Ораниенбаумский 37 к.3</t>
  </si>
  <si>
    <t>Ораниенбаумский 33 к.2</t>
  </si>
  <si>
    <t>Ораниенбаумский 33 к.3</t>
  </si>
  <si>
    <t>Ораниенбаумский 33 к.1</t>
  </si>
  <si>
    <t>1-10п</t>
  </si>
  <si>
    <t>1-8п</t>
  </si>
  <si>
    <t>шибер-замена</t>
  </si>
  <si>
    <t>Ораниенбаумский 37 к.1</t>
  </si>
  <si>
    <t>Ораниенбаумский 43 к.3</t>
  </si>
  <si>
    <t>Ораниенбаумский 37 к.2</t>
  </si>
  <si>
    <t>Победы 16/12</t>
  </si>
  <si>
    <t>и 2 приямка - 3м2</t>
  </si>
  <si>
    <t>7 эт -ремонт,гидроизол,</t>
  </si>
  <si>
    <t>2,4п</t>
  </si>
  <si>
    <t>Ораниенбаумский 21 к.2</t>
  </si>
  <si>
    <t>Скуридина 1</t>
  </si>
  <si>
    <t>укр.стойками</t>
  </si>
  <si>
    <t>3х5</t>
  </si>
  <si>
    <t>2х6</t>
  </si>
  <si>
    <t>2х5</t>
  </si>
  <si>
    <t>Скуридина 2</t>
  </si>
  <si>
    <t>Скуридина 3</t>
  </si>
  <si>
    <t>21х5</t>
  </si>
  <si>
    <t>Скуридина 6</t>
  </si>
  <si>
    <t>Скуридина 9</t>
  </si>
  <si>
    <t>Швейцарская 6</t>
  </si>
  <si>
    <t>6х5</t>
  </si>
  <si>
    <t>Швейцарская 8 к.1</t>
  </si>
  <si>
    <t>Швейцарская 8 к.2</t>
  </si>
  <si>
    <t>1х5</t>
  </si>
  <si>
    <t>Швейцарская 10</t>
  </si>
  <si>
    <t>Федюнинского 3 к.3</t>
  </si>
  <si>
    <t>Федюнинского 5 к.2</t>
  </si>
  <si>
    <t>Федюнинского 5 к.4</t>
  </si>
  <si>
    <t>кв 44</t>
  </si>
  <si>
    <t>Победы 22/7</t>
  </si>
  <si>
    <t>п.2,3,5,7,9</t>
  </si>
  <si>
    <t>п.2</t>
  </si>
  <si>
    <t>Ораниенбаумский 21</t>
  </si>
  <si>
    <t>зам. на противопож.</t>
  </si>
  <si>
    <t>7- приямки</t>
  </si>
  <si>
    <t>Федюнинского 3 к.2</t>
  </si>
  <si>
    <t>кв. ????  (п.1,4,6)</t>
  </si>
  <si>
    <t>Федюнинского 3 к.1</t>
  </si>
  <si>
    <t>Федюнинского 5 к.1</t>
  </si>
  <si>
    <t>Ораниенбаумский 31</t>
  </si>
  <si>
    <t>шибер п.5,6,8</t>
  </si>
  <si>
    <t>Ораниенбаумский 27</t>
  </si>
  <si>
    <t>в плане 2015</t>
  </si>
  <si>
    <t>Ораниенбаумский 27 к.2</t>
  </si>
  <si>
    <t>Ораниенбаумский 29</t>
  </si>
  <si>
    <t>Швейцарская 2</t>
  </si>
  <si>
    <t>кв 29 - ликвидация след.протечек</t>
  </si>
  <si>
    <t>Владимирская 30</t>
  </si>
  <si>
    <t>кв 36</t>
  </si>
  <si>
    <t>Владимирская 26а</t>
  </si>
  <si>
    <t>Ораниенбаумский 47</t>
  </si>
  <si>
    <t>кв 20(оштук), 51(гидроиз)</t>
  </si>
  <si>
    <t>Победы 32 к.2</t>
  </si>
  <si>
    <t>кв.68</t>
  </si>
  <si>
    <t>кв. 24   1эт (киртич.кладка)</t>
  </si>
  <si>
    <t xml:space="preserve">         </t>
  </si>
  <si>
    <t>Красного Флота 6</t>
  </si>
  <si>
    <t>кирп.кладка -3м2,  граф.-2</t>
  </si>
  <si>
    <t>1,2п - ступ. (пожарн.вх)</t>
  </si>
  <si>
    <t>Красного Флота 4</t>
  </si>
  <si>
    <t>50- кирпич,  2-граф.</t>
  </si>
  <si>
    <t>облиц.кирпич</t>
  </si>
  <si>
    <t>п.1,4,5,6</t>
  </si>
  <si>
    <t>Богумиловская 17</t>
  </si>
  <si>
    <t>п.1</t>
  </si>
  <si>
    <t>Богумитловская 17</t>
  </si>
  <si>
    <t>Богумиловская 15</t>
  </si>
  <si>
    <t>Богумиловская 13</t>
  </si>
  <si>
    <t>50- кирпич,  5-граф.</t>
  </si>
  <si>
    <t>Богумитловская 13</t>
  </si>
  <si>
    <t>Богумитловская 15</t>
  </si>
  <si>
    <t>1-4п- ступени</t>
  </si>
  <si>
    <t>Ж.Антоненко 6</t>
  </si>
  <si>
    <t>Ж.Антоненко 6 к.1</t>
  </si>
  <si>
    <t>5 колонн + граффити</t>
  </si>
  <si>
    <t>Ж.Антоненко 8</t>
  </si>
  <si>
    <t>20- кирпич,  10-граф., 5 - цоколь</t>
  </si>
  <si>
    <t>тамбур п.2</t>
  </si>
  <si>
    <t>кв 178, кв.15а и Промгеотехнология</t>
  </si>
  <si>
    <t>плитка</t>
  </si>
  <si>
    <t>изол,штук.(п.9,10,11,14)</t>
  </si>
  <si>
    <t>Ж,Антоненко 8</t>
  </si>
  <si>
    <t>п.14,12 со стор. пруда п.6</t>
  </si>
  <si>
    <t>Ж.Антоненко 12</t>
  </si>
  <si>
    <t>1эт.над окнами л/клетки</t>
  </si>
  <si>
    <t>1,3п.</t>
  </si>
  <si>
    <t>п.1,4</t>
  </si>
  <si>
    <t>6п -торец, 4эт. пр.ст.от вх. кв.78,81,84,87,90,77,80,83</t>
  </si>
  <si>
    <t>Ж.Антоненко 14а</t>
  </si>
  <si>
    <t>3п-5эт,  4п-1,2,3эт</t>
  </si>
  <si>
    <t>1п -ступени</t>
  </si>
  <si>
    <t>Ж.Антоненко 16</t>
  </si>
  <si>
    <t>п.5-1эт,  п.6-1эт.</t>
  </si>
  <si>
    <t>Некрасова 1</t>
  </si>
  <si>
    <t>п.5 -над окном (почтов.ящ.)</t>
  </si>
  <si>
    <t>кв 58 - ликвидация протечек</t>
  </si>
  <si>
    <t>Некрасова 1/2</t>
  </si>
  <si>
    <t>ликв.протечек эл/щитовой</t>
  </si>
  <si>
    <t>п.2(кв16) л/кл, тамбур</t>
  </si>
  <si>
    <t>Морская 84а</t>
  </si>
  <si>
    <t>п.1,2</t>
  </si>
  <si>
    <t>Морская 86а</t>
  </si>
  <si>
    <t>Кипренского 54</t>
  </si>
  <si>
    <t>кв1</t>
  </si>
  <si>
    <t>кв.1,2</t>
  </si>
  <si>
    <t>Железнодорожный пер. 6</t>
  </si>
  <si>
    <t>Заводская 4</t>
  </si>
  <si>
    <t>Заводская 5</t>
  </si>
  <si>
    <t>кв.1</t>
  </si>
  <si>
    <t>Заводская 6</t>
  </si>
  <si>
    <t>Заводская 7</t>
  </si>
  <si>
    <t>Заводская 9</t>
  </si>
  <si>
    <t>кв. 2</t>
  </si>
  <si>
    <t>Александровская 32а</t>
  </si>
  <si>
    <t>Александровская 32б</t>
  </si>
  <si>
    <t>Владимирская 22</t>
  </si>
  <si>
    <t>Владимирская 24</t>
  </si>
  <si>
    <t>Красноармейская 8</t>
  </si>
  <si>
    <t>Красноармейская 23</t>
  </si>
  <si>
    <t>Красноармейская 23а</t>
  </si>
  <si>
    <t>Красного Флота 20/41</t>
  </si>
  <si>
    <t>Кронштадтская  4а</t>
  </si>
  <si>
    <t>Ломоносова 12</t>
  </si>
  <si>
    <t>Ломоносова 12а</t>
  </si>
  <si>
    <t>Ломоносова 14</t>
  </si>
  <si>
    <t>Ломоносова 14а</t>
  </si>
  <si>
    <t>Победы 9</t>
  </si>
  <si>
    <t xml:space="preserve">Федюнинского 3 к. 1      </t>
  </si>
  <si>
    <t>Федюнинского 5 к. 1</t>
  </si>
  <si>
    <t>Федюнинского 5 к. 2</t>
  </si>
  <si>
    <t>Федюнинского 5 к. 4</t>
  </si>
  <si>
    <t>предпис.</t>
  </si>
  <si>
    <t>ДУ</t>
  </si>
  <si>
    <t xml:space="preserve"> ООО "ЖКС г. Ломоносова" на 2016 год.</t>
  </si>
  <si>
    <t>флюгарки</t>
  </si>
  <si>
    <t>подвальные окна</t>
  </si>
  <si>
    <t>Ораниенбаумский 43 к.2</t>
  </si>
  <si>
    <t>2 эт</t>
  </si>
  <si>
    <t>Победы 34 к.1</t>
  </si>
  <si>
    <t>Победы 36 к.2</t>
  </si>
  <si>
    <t>Ораниенбаумский 43 к.1</t>
  </si>
  <si>
    <t>Оргажд.2м2, 1м2 - лестницы</t>
  </si>
  <si>
    <t>Победы 36 к.1</t>
  </si>
  <si>
    <t>Ораниенбаумский 45 к.3</t>
  </si>
  <si>
    <t>ошттукатуривание</t>
  </si>
  <si>
    <t>3п. - зап.выхлд</t>
  </si>
  <si>
    <t>Ораниенбаумский 49 к.1</t>
  </si>
  <si>
    <t>Дворцовый 38</t>
  </si>
  <si>
    <t>Победы 1</t>
  </si>
  <si>
    <t>кв.6-8,10,11,17-24,29,30,33,34</t>
  </si>
  <si>
    <t>ямочн.ремонт у 2п.</t>
  </si>
  <si>
    <t>4х9</t>
  </si>
  <si>
    <t>п.2,3</t>
  </si>
  <si>
    <t>Профсоюзная 11а</t>
  </si>
  <si>
    <t>п.5</t>
  </si>
  <si>
    <t>Победы 6</t>
  </si>
  <si>
    <t>д</t>
  </si>
  <si>
    <t>стенд</t>
  </si>
  <si>
    <t>Победы 11</t>
  </si>
  <si>
    <t>п 1,2- поруч.ступ(2,8)</t>
  </si>
  <si>
    <t>Петровский 3/13</t>
  </si>
  <si>
    <t>поджатие фальцев</t>
  </si>
  <si>
    <t xml:space="preserve">кв </t>
  </si>
  <si>
    <t>штукат оголовка</t>
  </si>
  <si>
    <t>2х4</t>
  </si>
  <si>
    <t>Красноармейсмкая 10</t>
  </si>
  <si>
    <t>Красноармейская 10</t>
  </si>
  <si>
    <t>замена</t>
  </si>
  <si>
    <t>Костылева 17</t>
  </si>
  <si>
    <t>Костылева 16</t>
  </si>
  <si>
    <t>5п</t>
  </si>
  <si>
    <t>Костылева 14</t>
  </si>
  <si>
    <t>2п (балясина)</t>
  </si>
  <si>
    <t>Костылева 12</t>
  </si>
  <si>
    <t>перила + 3 балясины</t>
  </si>
  <si>
    <t>Костылева 10/19</t>
  </si>
  <si>
    <t>п.3</t>
  </si>
  <si>
    <t>3п укреп .решетки и перил</t>
  </si>
  <si>
    <t>Владимирская 26б</t>
  </si>
  <si>
    <t>кв 8,12,18</t>
  </si>
  <si>
    <t>4х4</t>
  </si>
  <si>
    <t>гермет.</t>
  </si>
  <si>
    <t>Владимирская 20/2</t>
  </si>
  <si>
    <t>Владимирская 18а</t>
  </si>
  <si>
    <t>Александровская 15/14</t>
  </si>
  <si>
    <t>Александровская 20/16</t>
  </si>
  <si>
    <t>штук. 2м2, восст.кирп.клад. 0,6м2</t>
  </si>
  <si>
    <t>Александровская 22/17</t>
  </si>
  <si>
    <t>фасад торец</t>
  </si>
  <si>
    <t>Александровская 25</t>
  </si>
  <si>
    <t>фасад торец (выбоины)</t>
  </si>
  <si>
    <t>Александровская 28</t>
  </si>
  <si>
    <t>1,2,5п - металл</t>
  </si>
  <si>
    <t>с подсыпкой</t>
  </si>
  <si>
    <t>Александровская 30</t>
  </si>
  <si>
    <t>торец 6 ступеней, кирп.кладка</t>
  </si>
  <si>
    <t>стены, ступени</t>
  </si>
  <si>
    <t>2п. 3п. (сп. В подвал)</t>
  </si>
  <si>
    <t>1-5п.</t>
  </si>
  <si>
    <t>Александровская 32в</t>
  </si>
  <si>
    <t>фасад на цоколем</t>
  </si>
  <si>
    <t>2 под.ездные и 1 подв.</t>
  </si>
  <si>
    <t>Владимирская 4</t>
  </si>
  <si>
    <t>восст.номер дома</t>
  </si>
  <si>
    <t>кв.4,5,6,10,11,12</t>
  </si>
  <si>
    <t>Александровская 23</t>
  </si>
  <si>
    <t>решетка спуск в подвал</t>
  </si>
  <si>
    <t>Александровская 23а</t>
  </si>
  <si>
    <t>1,3п</t>
  </si>
  <si>
    <t>Иликовский 12</t>
  </si>
  <si>
    <t>1х6</t>
  </si>
  <si>
    <t>Победы 5</t>
  </si>
  <si>
    <t>3х4</t>
  </si>
  <si>
    <t>замена , герм 1п</t>
  </si>
  <si>
    <t>Победы 3а</t>
  </si>
  <si>
    <t>Победы 3</t>
  </si>
  <si>
    <t>восстан.кирпичн.крадки</t>
  </si>
  <si>
    <t>Победы 11б</t>
  </si>
  <si>
    <t>4,6п</t>
  </si>
  <si>
    <t>Победы 12</t>
  </si>
  <si>
    <t>цоколь 3, фасад 3</t>
  </si>
  <si>
    <t>Красноармейская 12</t>
  </si>
  <si>
    <t>100-фасад, 122-цоколь</t>
  </si>
  <si>
    <t>Красноармейская 14</t>
  </si>
  <si>
    <t>Красноармейская 27</t>
  </si>
  <si>
    <t>восст кирп.крадки</t>
  </si>
  <si>
    <t>Красноармейская  27</t>
  </si>
  <si>
    <t>Красноармейская 37</t>
  </si>
  <si>
    <t>Красноармейская 37а</t>
  </si>
  <si>
    <t xml:space="preserve">7м2-п.6, 50м2-дор. въезд во двор (конт.пл.), </t>
  </si>
  <si>
    <t>кв2 ГЖИ</t>
  </si>
  <si>
    <t>экспертиза(аварийные)</t>
  </si>
  <si>
    <t>кв.</t>
  </si>
  <si>
    <t>кв16 (8911-2925922)</t>
  </si>
  <si>
    <t>кву 5 гжи</t>
  </si>
  <si>
    <t>цоколь-20, фасад-15</t>
  </si>
  <si>
    <t>кв.57, 15</t>
  </si>
  <si>
    <t>поджатие, герметизация</t>
  </si>
  <si>
    <t>кв 10 - оголовкки</t>
  </si>
  <si>
    <t>1,3п-3м2(плита ж/б карниз)</t>
  </si>
  <si>
    <t xml:space="preserve">фасад - вып.кирп.+ цоколь </t>
  </si>
  <si>
    <t>____________ Шмелева В.Н.</t>
  </si>
  <si>
    <t>в/эм</t>
  </si>
  <si>
    <t>кв 26</t>
  </si>
  <si>
    <t xml:space="preserve"> кв 23, 26 </t>
  </si>
  <si>
    <t>укр.стойк.рем. ПРОКУР</t>
  </si>
  <si>
    <t>кв 13</t>
  </si>
  <si>
    <t xml:space="preserve">Иликовский 26 </t>
  </si>
  <si>
    <t>кв 16 - ликвидация протечек</t>
  </si>
  <si>
    <t>кв 63  (2 эт)</t>
  </si>
  <si>
    <t>кв 14 ремонт (застеклен)</t>
  </si>
  <si>
    <t>Шмелева В.Н.</t>
  </si>
  <si>
    <t xml:space="preserve">Адресная программа текущего ремонта по  герметизации стыков стеновых панелей на 2016 год
ООО  "ЖКС г. Ломоносова" </t>
  </si>
  <si>
    <t>в тыс.руб</t>
  </si>
  <si>
    <t>Адресная программа ремонта полов МОП на 2016 год</t>
  </si>
  <si>
    <t>Утверждаю
Генеральный директор
ООО "ЖКС г. Ломоносова"
______________Шмелева В.Н.</t>
  </si>
  <si>
    <t>Адресная программа  текущего ремонта по замене водосточных труб ООО "ЖКС г. Ломоносова" на 2016 год.</t>
  </si>
  <si>
    <t>Утверждаю
Генеральный директор
ООО "ЖКС г. Ломоносова"
_________Шмелева В.Н.</t>
  </si>
  <si>
    <t>Адресная программа текущего ремонта  окон на 2016 год</t>
  </si>
  <si>
    <t>____________Шмелева В.Н.</t>
  </si>
  <si>
    <t>Победы 36/1</t>
  </si>
  <si>
    <t xml:space="preserve">сварка-площадка  и лестница выход на кровлю </t>
  </si>
  <si>
    <t>Всего Кол-во</t>
  </si>
  <si>
    <t>Ораниенбаумский 49/1</t>
  </si>
  <si>
    <t>Ораниенбаумский 37/1</t>
  </si>
  <si>
    <t>Ораниенбаумский 43/2</t>
  </si>
  <si>
    <t>Федюнинского  3/3</t>
  </si>
  <si>
    <t>Федюнинского 5/4</t>
  </si>
  <si>
    <t>Федюнинского 14/1</t>
  </si>
  <si>
    <t xml:space="preserve">Федюнинского 16 </t>
  </si>
  <si>
    <t>Сафронова 1а</t>
  </si>
  <si>
    <t>Красного Флота 30</t>
  </si>
  <si>
    <t>кв.55 с вых.на л/кл. (кв.3,4,7,10,13,17,61,66,69,72,75)</t>
  </si>
  <si>
    <t>Ораниенбаумский 43/3</t>
  </si>
  <si>
    <t>кв. 5,23,,60</t>
  </si>
  <si>
    <t>Ораниенбаумский 45/3</t>
  </si>
  <si>
    <t>Шаейцарская 6</t>
  </si>
  <si>
    <t>кв.13,45,90,24</t>
  </si>
  <si>
    <t>кв. 34</t>
  </si>
  <si>
    <t>кв. 37, 38, 58</t>
  </si>
  <si>
    <t>Федюнинского 14/2</t>
  </si>
  <si>
    <t>кв.32,70,90,176,321</t>
  </si>
  <si>
    <t>Ораниенбаумский 37/2</t>
  </si>
  <si>
    <t>кв.15</t>
  </si>
  <si>
    <t>кв. 60,52, 72</t>
  </si>
  <si>
    <t>кв. 74,кв. 34</t>
  </si>
  <si>
    <t>кв. 11</t>
  </si>
  <si>
    <t>Ораниенбаумский 33/1</t>
  </si>
  <si>
    <t>Федюнинского 3/2</t>
  </si>
  <si>
    <t>кв. 4 (вертикаль + горизонталь 9 этажей)</t>
  </si>
  <si>
    <t>Всего на         2016 г.</t>
  </si>
  <si>
    <t>Адресная программа по установке металлических дверей и  решеток на  2016 год.
ООО "ЖКС г. Ломоносова"</t>
  </si>
  <si>
    <t>окрытие парапета</t>
  </si>
  <si>
    <t>двери,  шт.</t>
  </si>
  <si>
    <t>люки,  шт.</t>
  </si>
  <si>
    <t>решетки,  шт.</t>
  </si>
  <si>
    <t>зап. Выход, обещалка</t>
  </si>
  <si>
    <t>дверь ИТП</t>
  </si>
  <si>
    <t>Победы, 23</t>
  </si>
  <si>
    <t>зам. на противопож. предписание</t>
  </si>
  <si>
    <t>люк</t>
  </si>
  <si>
    <t>люк 1,2,3п</t>
  </si>
  <si>
    <t>люк 1,2,3,4,5п</t>
  </si>
  <si>
    <t xml:space="preserve"> 10 - кровля</t>
  </si>
  <si>
    <t>2 подвал, крыша на  п/п</t>
  </si>
  <si>
    <t>подвал, кровля на п/п</t>
  </si>
  <si>
    <t>2-чердак, 2 кровля на п/п/</t>
  </si>
  <si>
    <t>2-подвал, 2 кровля на /п/п</t>
  </si>
  <si>
    <t>1-чердак, 1 кровля на п/п</t>
  </si>
  <si>
    <t>кровля + чердак на п/п</t>
  </si>
  <si>
    <t>подвал, торец,Швейц. УУТЭ</t>
  </si>
  <si>
    <t>зам. на противопож. На п/п</t>
  </si>
  <si>
    <t xml:space="preserve"> 2 кровля (кв 115)</t>
  </si>
  <si>
    <t>п.1,2,4,6 подвал, кровля на п/п</t>
  </si>
  <si>
    <t>подвал, кровля (п.3,5,6,7) на п/п</t>
  </si>
  <si>
    <t>" Утверждаю"</t>
  </si>
  <si>
    <t>Адресная программа текущего ремонта фасадов жилых домов ООО "ЖКС г. Ломоносова" на 2016 год.</t>
  </si>
  <si>
    <t xml:space="preserve">примыкание в/каналу </t>
  </si>
  <si>
    <t xml:space="preserve"> смена покрытия</t>
  </si>
  <si>
    <t xml:space="preserve">смена покрытия </t>
  </si>
  <si>
    <t xml:space="preserve">примыкание в/к </t>
  </si>
  <si>
    <t>карнизный свес</t>
  </si>
  <si>
    <t>примыкания, козырёк балкона</t>
  </si>
  <si>
    <t>прим.к в/каналу</t>
  </si>
  <si>
    <t>карнизный свес, водосточка.</t>
  </si>
  <si>
    <t>карнизные свесы, кан.трубы</t>
  </si>
  <si>
    <t>заплаты, примыкание</t>
  </si>
  <si>
    <t>кв. 26 , этаж</t>
  </si>
  <si>
    <t>кв.60 ГЖИ (5.05.2016), кв.30</t>
  </si>
  <si>
    <t>кв.10</t>
  </si>
  <si>
    <t>1эт (кв.1,2,3,4,7,10,13,16,17,18,31,32,33,46,47,48,51,54,57,60)</t>
  </si>
  <si>
    <t>кв. 13,46,47,48,61,62,63,69,76,77,78</t>
  </si>
  <si>
    <t>кв. 61,62,77</t>
  </si>
  <si>
    <t>кв. 156</t>
  </si>
  <si>
    <t>кв. 2,12,20,55,65,158,252,272</t>
  </si>
  <si>
    <t>кв. 58</t>
  </si>
  <si>
    <t>Ораниенбаумский 39/2</t>
  </si>
  <si>
    <t>3п. (с 16-45), кв 12, 27,13 (кв.13-8953-170-75-85 - с расшивкой)</t>
  </si>
  <si>
    <r>
      <t>торцы(</t>
    </r>
    <r>
      <rPr>
        <sz val="8"/>
        <rFont val="Times New Roman"/>
        <family val="1"/>
      </rPr>
      <t>промерз</t>
    </r>
    <r>
      <rPr>
        <sz val="11"/>
        <rFont val="Times New Roman"/>
        <family val="1"/>
      </rPr>
      <t>.) кв. 3,16,17,24,31,32,33,46,47,48,53,61,62,63,вх.в коляс. 1эт.</t>
    </r>
  </si>
  <si>
    <t>кв. 1,5,9,13,17,21,25,29,33,53,66,74,76,85,141</t>
  </si>
  <si>
    <t>"Утверждаю"
Генеральный директор                                                                                                                                                                                                                                                                                                                                                                                                                                                                                                                                                                                                                                                                                                                                      
ООО "ЖКС г. Ломоносова" 
_____________Шмелева В.Н.</t>
  </si>
  <si>
    <t xml:space="preserve"> ООО "ЖКС г. Ломоносова" на 2016 год</t>
  </si>
  <si>
    <t>"Утверждаю"
Генеральный директор
ООО "ЖКС г. Ломоносова"
_________Шмелева В.Н.</t>
  </si>
  <si>
    <r>
      <t xml:space="preserve">Адресная программа замены и ремонта </t>
    </r>
    <r>
      <rPr>
        <b/>
        <sz val="16"/>
        <rFont val="Arial"/>
        <family val="2"/>
      </rPr>
      <t xml:space="preserve">дверей                                                     </t>
    </r>
    <r>
      <rPr>
        <b/>
        <sz val="12"/>
        <rFont val="Arial"/>
        <family val="2"/>
      </rPr>
      <t>на 2016 год</t>
    </r>
  </si>
  <si>
    <t xml:space="preserve"> двери 1,8п</t>
  </si>
  <si>
    <t xml:space="preserve"> на ИТП решетки</t>
  </si>
  <si>
    <t>кв 16</t>
  </si>
  <si>
    <t>ИТОГО ремонт и остекление</t>
  </si>
  <si>
    <t xml:space="preserve"> </t>
  </si>
  <si>
    <t>в подъезды, подвалы, над балконами верхних этажей на  2016 год</t>
  </si>
  <si>
    <t>на 2016 в т.р. Всего</t>
  </si>
  <si>
    <t>козыр, крыл</t>
  </si>
  <si>
    <t>Адресная программа текущего ремонта мусоропроводов на 2016 г.</t>
  </si>
  <si>
    <t>Утверждаю
Генеральный директор
ООО "ЖКС г. Ломоносова"                                                                                                              Шмелева В.Н.</t>
  </si>
  <si>
    <t>Ремонт приямков, входов в подвал на 2016 г.</t>
  </si>
  <si>
    <t>и замены дефлекторов, оголовков труб на 2016 г.</t>
  </si>
  <si>
    <t>по ООО "ЖКС г. Ломоносова"</t>
  </si>
  <si>
    <t>№№ пп</t>
  </si>
  <si>
    <t>1-2п</t>
  </si>
  <si>
    <t>В.Н. Шмелёва</t>
  </si>
  <si>
    <t>Приложение 1</t>
  </si>
  <si>
    <t>Ораниенбаумский 27/2</t>
  </si>
  <si>
    <t>кв 60</t>
  </si>
  <si>
    <t xml:space="preserve">кв.11, 24, 27 </t>
  </si>
  <si>
    <t>Александровская 366</t>
  </si>
  <si>
    <t>в пл.2015 (щели в местах прим. стен подвала</t>
  </si>
  <si>
    <t>тыс.м2</t>
  </si>
  <si>
    <t>смена керам.плитки</t>
  </si>
  <si>
    <t>Ж.Антоненко 5</t>
  </si>
  <si>
    <t>входная группа  п.6</t>
  </si>
  <si>
    <t>Ораниенбаумский 37/3</t>
  </si>
  <si>
    <t>кв.14</t>
  </si>
  <si>
    <t>План текущего ремонта на 2016 год  ООО "ЖКС г. Ломоносова"</t>
  </si>
  <si>
    <t>кв. 45, 74</t>
  </si>
  <si>
    <t xml:space="preserve">дополнительно по заявлениям </t>
  </si>
  <si>
    <t>Дополнительно по заявлению</t>
  </si>
  <si>
    <t>кв.16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</si>
</sst>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0"/>
    <numFmt numFmtId="176" formatCode="0.00000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&quot;р.&quot;_-;\-* #,##0.0&quot;р.&quot;_-;_-* &quot;-&quot;?&quot;р.&quot;_-;_-@_-"/>
    <numFmt numFmtId="181" formatCode="_-* #,##0.000&quot;р.&quot;_-;\-* #,##0.000&quot;р.&quot;_-;_-* &quot;-&quot;???&quot;р.&quot;_-;_-@_-"/>
    <numFmt numFmtId="182" formatCode="_-* #,##0.00&quot;р.&quot;_-;\-* #,##0.00&quot;р.&quot;_-;_-* &quot;-&quot;???&quot;р.&quot;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_-* #,##0.000_р_._-;\-* #,##0.000_р_._-;_-* &quot;-&quot;??_р_._-;_-@_-"/>
    <numFmt numFmtId="189" formatCode="#,##0.0000"/>
    <numFmt numFmtId="190" formatCode="#,##0.0"/>
    <numFmt numFmtId="191" formatCode="_-* #,##0.000_р_._-;\-* #,##0.000_р_._-;_-* &quot;-&quot;???_р_._-;_-@_-"/>
    <numFmt numFmtId="192" formatCode="#,##0.00&quot;р.&quot;"/>
    <numFmt numFmtId="193" formatCode="0.000000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_р_._-;\-* #,##0.00_р_._-;_-* &quot;-&quot;???_р_._-;_-@_-"/>
    <numFmt numFmtId="197" formatCode="_-* #,##0.0_р_._-;\-* #,##0.0_р_._-;_-* &quot;-&quot;???_р_._-;_-@_-"/>
    <numFmt numFmtId="198" formatCode="_-* #,##0_р_._-;\-* #,##0_р_._-;_-* &quot;-&quot;???_р_._-;_-@_-"/>
    <numFmt numFmtId="199" formatCode="_-* #,##0.000\ _₽_-;\-* #,##0.000\ _₽_-;_-* &quot;-&quot;???\ _₽_-;_-@_-"/>
    <numFmt numFmtId="200" formatCode="_-* #,##0.000000_р_._-;\-* #,##0.000000_р_._-;_-* &quot;-&quot;???_р_._-;_-@_-"/>
    <numFmt numFmtId="201" formatCode="_-* #,##0.0000000_р_._-;\-* #,##0.0000000_р_._-;_-* &quot;-&quot;???_р_._-;_-@_-"/>
    <numFmt numFmtId="202" formatCode="_-* #,##0.0_р_._-;\-* #,##0.0_р_._-;_-* &quot;-&quot;_р_._-;_-@_-"/>
    <numFmt numFmtId="203" formatCode="_-* #,##0.00_р_._-;\-* #,##0.00_р_._-;_-* &quot;-&quot;_р_._-;_-@_-"/>
    <numFmt numFmtId="204" formatCode="_-* #,##0.000_р_._-;\-* #,##0.000_р_._-;_-* &quot;-&quot;_р_._-;_-@_-"/>
    <numFmt numFmtId="205" formatCode="_-* #,##0.000\ _₽_-;\-* #,##0.000\ _₽_-;_-* &quot;-&quot;??\ _₽_-;_-@_-"/>
    <numFmt numFmtId="206" formatCode="_-* #,##0.0000\ _₽_-;\-* #,##0.0000\ _₽_-;_-* &quot;-&quot;???\ _₽_-;_-@_-"/>
    <numFmt numFmtId="207" formatCode="_-* #,##0.00000\ _₽_-;\-* #,##0.00000\ _₽_-;_-* &quot;-&quot;???\ _₽_-;_-@_-"/>
    <numFmt numFmtId="208" formatCode="_-* #,##0.000000\ _₽_-;\-* #,##0.000000\ _₽_-;_-* &quot;-&quot;???\ _₽_-;_-@_-"/>
    <numFmt numFmtId="209" formatCode="_-* #,##0.0000000\ _₽_-;\-* #,##0.0000000\ _₽_-;_-* &quot;-&quot;???\ _₽_-;_-@_-"/>
    <numFmt numFmtId="210" formatCode="0.0000000"/>
  </numFmts>
  <fonts count="11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sz val="6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6"/>
      <name val="Arial"/>
      <family val="2"/>
    </font>
    <font>
      <b/>
      <sz val="14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0"/>
    </font>
    <font>
      <sz val="9"/>
      <name val="Times New Roman Cyr"/>
      <family val="1"/>
    </font>
    <font>
      <sz val="8"/>
      <name val="Times New Roman Cyr"/>
      <family val="1"/>
    </font>
    <font>
      <sz val="8"/>
      <name val="Times New Roman CYR"/>
      <family val="0"/>
    </font>
    <font>
      <sz val="8"/>
      <name val="Arial Cyr"/>
      <family val="0"/>
    </font>
    <font>
      <sz val="7.5"/>
      <name val="Times New Roman Cyr"/>
      <family val="1"/>
    </font>
    <font>
      <b/>
      <sz val="8"/>
      <name val="Arial Cyr"/>
      <family val="0"/>
    </font>
    <font>
      <sz val="10"/>
      <name val="Khmer UI"/>
      <family val="2"/>
    </font>
    <font>
      <b/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Microsoft New Tai Lue"/>
      <family val="2"/>
    </font>
    <font>
      <sz val="9"/>
      <color indexed="10"/>
      <name val="Microsoft New Tai Lue"/>
      <family val="2"/>
    </font>
    <font>
      <sz val="10"/>
      <color indexed="10"/>
      <name val="Microsoft New Tai Lue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Times New Roman"/>
      <family val="1"/>
    </font>
    <font>
      <sz val="9"/>
      <color indexed="8"/>
      <name val="Microsoft New Tai Lue"/>
      <family val="2"/>
    </font>
    <font>
      <sz val="10"/>
      <color indexed="8"/>
      <name val="Microsoft New Tai Lue"/>
      <family val="2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9"/>
      <color indexed="10"/>
      <name val="Arial Cyr"/>
      <family val="0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Microsoft New Tai Lue"/>
      <family val="2"/>
    </font>
    <font>
      <b/>
      <sz val="10"/>
      <color theme="1"/>
      <name val="Times New Roman"/>
      <family val="1"/>
    </font>
    <font>
      <sz val="9"/>
      <color rgb="FFFF0000"/>
      <name val="Microsoft New Tai Lue"/>
      <family val="2"/>
    </font>
    <font>
      <sz val="10"/>
      <color rgb="FFFF0000"/>
      <name val="Microsoft New Tai Lue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sz val="9"/>
      <color theme="1"/>
      <name val="Microsoft New Tai Lue"/>
      <family val="2"/>
    </font>
    <font>
      <sz val="10"/>
      <color theme="1"/>
      <name val="Microsoft New Tai Lue"/>
      <family val="2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sz val="9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 Cyr"/>
      <family val="0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thin"/>
      <top style="medium"/>
      <bottom/>
    </border>
    <border>
      <left style="hair"/>
      <right style="hair"/>
      <top style="medium"/>
      <bottom style="medium"/>
    </border>
    <border>
      <left style="medium"/>
      <right style="hair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27" fillId="0" borderId="0">
      <alignment/>
      <protection/>
    </xf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18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right"/>
    </xf>
    <xf numFmtId="172" fontId="6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20" fillId="0" borderId="0" xfId="0" applyFont="1" applyAlignment="1">
      <alignment/>
    </xf>
    <xf numFmtId="0" fontId="93" fillId="0" borderId="14" xfId="0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wrapText="1"/>
    </xf>
    <xf numFmtId="172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2" fillId="0" borderId="21" xfId="0" applyFont="1" applyFill="1" applyBorder="1" applyAlignment="1">
      <alignment vertical="center" wrapText="1"/>
    </xf>
    <xf numFmtId="49" fontId="12" fillId="0" borderId="2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72" fontId="2" fillId="0" borderId="0" xfId="0" applyNumberFormat="1" applyFont="1" applyFill="1" applyBorder="1" applyAlignment="1">
      <alignment horizontal="center" vertical="top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56" applyFont="1" applyAlignment="1">
      <alignment horizontal="right"/>
      <protection/>
    </xf>
    <xf numFmtId="0" fontId="3" fillId="0" borderId="0" xfId="56" applyFont="1">
      <alignment/>
      <protection/>
    </xf>
    <xf numFmtId="0" fontId="27" fillId="0" borderId="0" xfId="56">
      <alignment/>
      <protection/>
    </xf>
    <xf numFmtId="0" fontId="3" fillId="0" borderId="0" xfId="56" applyFont="1" applyAlignment="1">
      <alignment/>
      <protection/>
    </xf>
    <xf numFmtId="0" fontId="4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0" fontId="27" fillId="0" borderId="0" xfId="56" applyFont="1">
      <alignment/>
      <protection/>
    </xf>
    <xf numFmtId="0" fontId="27" fillId="0" borderId="0" xfId="56" applyFont="1" applyBorder="1">
      <alignment/>
      <protection/>
    </xf>
    <xf numFmtId="0" fontId="4" fillId="0" borderId="27" xfId="56" applyFont="1" applyBorder="1" applyAlignment="1">
      <alignment horizontal="center"/>
      <protection/>
    </xf>
    <xf numFmtId="0" fontId="3" fillId="0" borderId="12" xfId="56" applyFont="1" applyBorder="1">
      <alignment/>
      <protection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3" fillId="0" borderId="3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0" fillId="0" borderId="32" xfId="0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/>
    </xf>
    <xf numFmtId="175" fontId="6" fillId="0" borderId="14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72" fontId="6" fillId="0" borderId="26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3" xfId="0" applyBorder="1" applyAlignment="1">
      <alignment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right" vertical="center"/>
    </xf>
    <xf numFmtId="172" fontId="3" fillId="0" borderId="18" xfId="0" applyNumberFormat="1" applyFont="1" applyFill="1" applyBorder="1" applyAlignment="1">
      <alignment horizontal="right" vertical="center"/>
    </xf>
    <xf numFmtId="172" fontId="3" fillId="0" borderId="38" xfId="0" applyNumberFormat="1" applyFont="1" applyFill="1" applyBorder="1" applyAlignment="1">
      <alignment horizontal="right" vertical="center" wrapText="1"/>
    </xf>
    <xf numFmtId="2" fontId="3" fillId="0" borderId="18" xfId="0" applyNumberFormat="1" applyFont="1" applyFill="1" applyBorder="1" applyAlignment="1">
      <alignment horizontal="right" vertical="center"/>
    </xf>
    <xf numFmtId="2" fontId="3" fillId="0" borderId="39" xfId="0" applyNumberFormat="1" applyFont="1" applyFill="1" applyBorder="1" applyAlignment="1">
      <alignment horizontal="right" vertical="center"/>
    </xf>
    <xf numFmtId="172" fontId="3" fillId="0" borderId="17" xfId="0" applyNumberFormat="1" applyFont="1" applyFill="1" applyBorder="1" applyAlignment="1">
      <alignment horizontal="right" vertical="center"/>
    </xf>
    <xf numFmtId="172" fontId="3" fillId="0" borderId="38" xfId="0" applyNumberFormat="1" applyFont="1" applyBorder="1" applyAlignment="1">
      <alignment horizontal="right" vertical="center" wrapText="1"/>
    </xf>
    <xf numFmtId="0" fontId="3" fillId="0" borderId="40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/>
    </xf>
    <xf numFmtId="172" fontId="4" fillId="0" borderId="22" xfId="0" applyNumberFormat="1" applyFont="1" applyFill="1" applyBorder="1" applyAlignment="1">
      <alignment horizontal="right" vertical="center"/>
    </xf>
    <xf numFmtId="172" fontId="4" fillId="0" borderId="30" xfId="0" applyNumberFormat="1" applyFont="1" applyBorder="1" applyAlignment="1">
      <alignment horizontal="right" vertical="center" wrapText="1"/>
    </xf>
    <xf numFmtId="2" fontId="4" fillId="0" borderId="22" xfId="0" applyNumberFormat="1" applyFont="1" applyBorder="1" applyAlignment="1">
      <alignment/>
    </xf>
    <xf numFmtId="0" fontId="8" fillId="0" borderId="30" xfId="0" applyFont="1" applyBorder="1" applyAlignment="1">
      <alignment/>
    </xf>
    <xf numFmtId="182" fontId="25" fillId="0" borderId="0" xfId="0" applyNumberFormat="1" applyFont="1" applyAlignment="1">
      <alignment/>
    </xf>
    <xf numFmtId="182" fontId="4" fillId="0" borderId="14" xfId="0" applyNumberFormat="1" applyFont="1" applyFill="1" applyBorder="1" applyAlignment="1">
      <alignment horizontal="right" vertical="center"/>
    </xf>
    <xf numFmtId="2" fontId="3" fillId="34" borderId="17" xfId="0" applyNumberFormat="1" applyFont="1" applyFill="1" applyBorder="1" applyAlignment="1">
      <alignment horizontal="right" vertical="center"/>
    </xf>
    <xf numFmtId="2" fontId="3" fillId="34" borderId="21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33" xfId="0" applyBorder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" fillId="0" borderId="0" xfId="56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1" fontId="22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/>
    </xf>
    <xf numFmtId="49" fontId="22" fillId="0" borderId="42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 wrapText="1"/>
    </xf>
    <xf numFmtId="0" fontId="23" fillId="35" borderId="27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" vertical="center" wrapText="1"/>
    </xf>
    <xf numFmtId="0" fontId="23" fillId="33" borderId="46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47" xfId="0" applyFont="1" applyFill="1" applyBorder="1" applyAlignment="1">
      <alignment horizontal="center" vertical="center" wrapText="1"/>
    </xf>
    <xf numFmtId="0" fontId="23" fillId="7" borderId="48" xfId="0" applyFont="1" applyFill="1" applyBorder="1" applyAlignment="1">
      <alignment horizontal="center"/>
    </xf>
    <xf numFmtId="0" fontId="23" fillId="7" borderId="21" xfId="0" applyFont="1" applyFill="1" applyBorder="1" applyAlignment="1">
      <alignment horizontal="center"/>
    </xf>
    <xf numFmtId="0" fontId="23" fillId="7" borderId="20" xfId="0" applyFont="1" applyFill="1" applyBorder="1" applyAlignment="1">
      <alignment horizontal="center"/>
    </xf>
    <xf numFmtId="0" fontId="23" fillId="7" borderId="39" xfId="0" applyFont="1" applyFill="1" applyBorder="1" applyAlignment="1">
      <alignment horizontal="center"/>
    </xf>
    <xf numFmtId="0" fontId="23" fillId="33" borderId="48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39" xfId="0" applyFont="1" applyFill="1" applyBorder="1" applyAlignment="1">
      <alignment horizontal="center"/>
    </xf>
    <xf numFmtId="0" fontId="23" fillId="33" borderId="49" xfId="0" applyFont="1" applyFill="1" applyBorder="1" applyAlignment="1">
      <alignment horizontal="center"/>
    </xf>
    <xf numFmtId="0" fontId="23" fillId="33" borderId="50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/>
    </xf>
    <xf numFmtId="0" fontId="23" fillId="33" borderId="35" xfId="0" applyFont="1" applyFill="1" applyBorder="1" applyAlignment="1">
      <alignment horizontal="center"/>
    </xf>
    <xf numFmtId="0" fontId="23" fillId="33" borderId="51" xfId="0" applyFont="1" applyFill="1" applyBorder="1" applyAlignment="1">
      <alignment horizontal="center"/>
    </xf>
    <xf numFmtId="0" fontId="23" fillId="33" borderId="52" xfId="0" applyFont="1" applyFill="1" applyBorder="1" applyAlignment="1">
      <alignment horizontal="center"/>
    </xf>
    <xf numFmtId="0" fontId="23" fillId="33" borderId="53" xfId="0" applyFont="1" applyFill="1" applyBorder="1" applyAlignment="1">
      <alignment horizontal="center"/>
    </xf>
    <xf numFmtId="0" fontId="23" fillId="33" borderId="54" xfId="0" applyFont="1" applyFill="1" applyBorder="1" applyAlignment="1">
      <alignment horizontal="center"/>
    </xf>
    <xf numFmtId="0" fontId="22" fillId="33" borderId="48" xfId="0" applyFont="1" applyFill="1" applyBorder="1" applyAlignment="1">
      <alignment horizontal="center"/>
    </xf>
    <xf numFmtId="0" fontId="22" fillId="33" borderId="55" xfId="0" applyFont="1" applyFill="1" applyBorder="1" applyAlignment="1">
      <alignment horizontal="center"/>
    </xf>
    <xf numFmtId="0" fontId="23" fillId="33" borderId="56" xfId="0" applyFont="1" applyFill="1" applyBorder="1" applyAlignment="1">
      <alignment horizontal="center"/>
    </xf>
    <xf numFmtId="0" fontId="23" fillId="33" borderId="33" xfId="0" applyFont="1" applyFill="1" applyBorder="1" applyAlignment="1">
      <alignment horizontal="center"/>
    </xf>
    <xf numFmtId="0" fontId="23" fillId="33" borderId="57" xfId="0" applyFont="1" applyFill="1" applyBorder="1" applyAlignment="1">
      <alignment horizontal="center"/>
    </xf>
    <xf numFmtId="0" fontId="23" fillId="33" borderId="45" xfId="0" applyFont="1" applyFill="1" applyBorder="1" applyAlignment="1">
      <alignment horizontal="center"/>
    </xf>
    <xf numFmtId="0" fontId="23" fillId="33" borderId="46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47" xfId="0" applyFont="1" applyFill="1" applyBorder="1" applyAlignment="1">
      <alignment horizontal="center"/>
    </xf>
    <xf numFmtId="0" fontId="23" fillId="33" borderId="58" xfId="0" applyFont="1" applyFill="1" applyBorder="1" applyAlignment="1">
      <alignment horizontal="center"/>
    </xf>
    <xf numFmtId="0" fontId="23" fillId="33" borderId="59" xfId="0" applyFont="1" applyFill="1" applyBorder="1" applyAlignment="1">
      <alignment horizontal="center"/>
    </xf>
    <xf numFmtId="0" fontId="23" fillId="33" borderId="60" xfId="0" applyFont="1" applyFill="1" applyBorder="1" applyAlignment="1">
      <alignment horizontal="center"/>
    </xf>
    <xf numFmtId="0" fontId="23" fillId="33" borderId="61" xfId="0" applyFont="1" applyFill="1" applyBorder="1" applyAlignment="1">
      <alignment horizontal="center"/>
    </xf>
    <xf numFmtId="0" fontId="23" fillId="33" borderId="51" xfId="0" applyFont="1" applyFill="1" applyBorder="1" applyAlignment="1">
      <alignment horizontal="center"/>
    </xf>
    <xf numFmtId="0" fontId="23" fillId="33" borderId="52" xfId="0" applyFont="1" applyFill="1" applyBorder="1" applyAlignment="1">
      <alignment horizontal="center"/>
    </xf>
    <xf numFmtId="0" fontId="23" fillId="33" borderId="53" xfId="0" applyFont="1" applyFill="1" applyBorder="1" applyAlignment="1">
      <alignment horizontal="center"/>
    </xf>
    <xf numFmtId="0" fontId="23" fillId="33" borderId="54" xfId="0" applyFont="1" applyFill="1" applyBorder="1" applyAlignment="1">
      <alignment horizontal="center"/>
    </xf>
    <xf numFmtId="0" fontId="23" fillId="33" borderId="55" xfId="0" applyFont="1" applyFill="1" applyBorder="1" applyAlignment="1">
      <alignment horizontal="center"/>
    </xf>
    <xf numFmtId="0" fontId="23" fillId="33" borderId="45" xfId="0" applyFont="1" applyFill="1" applyBorder="1" applyAlignment="1">
      <alignment horizontal="center"/>
    </xf>
    <xf numFmtId="0" fontId="23" fillId="33" borderId="46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47" xfId="0" applyFont="1" applyFill="1" applyBorder="1" applyAlignment="1">
      <alignment horizontal="center"/>
    </xf>
    <xf numFmtId="0" fontId="23" fillId="33" borderId="58" xfId="0" applyFont="1" applyFill="1" applyBorder="1" applyAlignment="1">
      <alignment horizontal="center"/>
    </xf>
    <xf numFmtId="0" fontId="23" fillId="33" borderId="59" xfId="0" applyFont="1" applyFill="1" applyBorder="1" applyAlignment="1">
      <alignment horizontal="center"/>
    </xf>
    <xf numFmtId="0" fontId="23" fillId="33" borderId="60" xfId="0" applyFont="1" applyFill="1" applyBorder="1" applyAlignment="1">
      <alignment horizontal="center"/>
    </xf>
    <xf numFmtId="0" fontId="23" fillId="33" borderId="61" xfId="0" applyFont="1" applyFill="1" applyBorder="1" applyAlignment="1">
      <alignment horizontal="center"/>
    </xf>
    <xf numFmtId="0" fontId="23" fillId="36" borderId="44" xfId="0" applyFont="1" applyFill="1" applyBorder="1" applyAlignment="1">
      <alignment horizontal="center"/>
    </xf>
    <xf numFmtId="0" fontId="23" fillId="36" borderId="27" xfId="0" applyFont="1" applyFill="1" applyBorder="1" applyAlignment="1">
      <alignment horizontal="center"/>
    </xf>
    <xf numFmtId="0" fontId="23" fillId="36" borderId="22" xfId="0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23" fillId="7" borderId="45" xfId="0" applyFont="1" applyFill="1" applyBorder="1" applyAlignment="1">
      <alignment horizontal="center"/>
    </xf>
    <xf numFmtId="0" fontId="23" fillId="7" borderId="46" xfId="0" applyFont="1" applyFill="1" applyBorder="1" applyAlignment="1">
      <alignment horizontal="center"/>
    </xf>
    <xf numFmtId="0" fontId="23" fillId="7" borderId="18" xfId="0" applyFont="1" applyFill="1" applyBorder="1" applyAlignment="1">
      <alignment horizontal="center"/>
    </xf>
    <xf numFmtId="0" fontId="23" fillId="7" borderId="47" xfId="0" applyFont="1" applyFill="1" applyBorder="1" applyAlignment="1">
      <alignment horizontal="center"/>
    </xf>
    <xf numFmtId="0" fontId="23" fillId="7" borderId="48" xfId="0" applyFont="1" applyFill="1" applyBorder="1" applyAlignment="1">
      <alignment horizontal="center"/>
    </xf>
    <xf numFmtId="0" fontId="23" fillId="7" borderId="21" xfId="0" applyFont="1" applyFill="1" applyBorder="1" applyAlignment="1">
      <alignment horizontal="center"/>
    </xf>
    <xf numFmtId="0" fontId="23" fillId="7" borderId="20" xfId="0" applyFont="1" applyFill="1" applyBorder="1" applyAlignment="1">
      <alignment horizontal="center"/>
    </xf>
    <xf numFmtId="0" fontId="23" fillId="7" borderId="39" xfId="0" applyFont="1" applyFill="1" applyBorder="1" applyAlignment="1">
      <alignment horizontal="center"/>
    </xf>
    <xf numFmtId="0" fontId="23" fillId="33" borderId="55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57" xfId="0" applyFont="1" applyFill="1" applyBorder="1" applyAlignment="1">
      <alignment horizontal="center" vertical="center"/>
    </xf>
    <xf numFmtId="0" fontId="23" fillId="36" borderId="62" xfId="0" applyFont="1" applyFill="1" applyBorder="1" applyAlignment="1">
      <alignment/>
    </xf>
    <xf numFmtId="0" fontId="23" fillId="36" borderId="63" xfId="0" applyFont="1" applyFill="1" applyBorder="1" applyAlignment="1">
      <alignment/>
    </xf>
    <xf numFmtId="0" fontId="23" fillId="36" borderId="64" xfId="0" applyFont="1" applyFill="1" applyBorder="1" applyAlignment="1">
      <alignment/>
    </xf>
    <xf numFmtId="0" fontId="23" fillId="36" borderId="65" xfId="0" applyFont="1" applyFill="1" applyBorder="1" applyAlignment="1">
      <alignment/>
    </xf>
    <xf numFmtId="0" fontId="23" fillId="33" borderId="51" xfId="0" applyFont="1" applyFill="1" applyBorder="1" applyAlignment="1">
      <alignment/>
    </xf>
    <xf numFmtId="0" fontId="23" fillId="33" borderId="52" xfId="0" applyFont="1" applyFill="1" applyBorder="1" applyAlignment="1">
      <alignment/>
    </xf>
    <xf numFmtId="0" fontId="23" fillId="33" borderId="53" xfId="0" applyFont="1" applyFill="1" applyBorder="1" applyAlignment="1">
      <alignment/>
    </xf>
    <xf numFmtId="0" fontId="23" fillId="33" borderId="54" xfId="0" applyFont="1" applyFill="1" applyBorder="1" applyAlignment="1">
      <alignment/>
    </xf>
    <xf numFmtId="0" fontId="23" fillId="33" borderId="55" xfId="0" applyFont="1" applyFill="1" applyBorder="1" applyAlignment="1">
      <alignment/>
    </xf>
    <xf numFmtId="0" fontId="23" fillId="33" borderId="56" xfId="0" applyFont="1" applyFill="1" applyBorder="1" applyAlignment="1">
      <alignment/>
    </xf>
    <xf numFmtId="0" fontId="23" fillId="33" borderId="33" xfId="0" applyFont="1" applyFill="1" applyBorder="1" applyAlignment="1">
      <alignment/>
    </xf>
    <xf numFmtId="0" fontId="23" fillId="33" borderId="57" xfId="0" applyFont="1" applyFill="1" applyBorder="1" applyAlignment="1">
      <alignment/>
    </xf>
    <xf numFmtId="0" fontId="23" fillId="33" borderId="45" xfId="0" applyFont="1" applyFill="1" applyBorder="1" applyAlignment="1">
      <alignment/>
    </xf>
    <xf numFmtId="0" fontId="23" fillId="33" borderId="46" xfId="0" applyFont="1" applyFill="1" applyBorder="1" applyAlignment="1">
      <alignment/>
    </xf>
    <xf numFmtId="0" fontId="23" fillId="33" borderId="18" xfId="0" applyFont="1" applyFill="1" applyBorder="1" applyAlignment="1">
      <alignment/>
    </xf>
    <xf numFmtId="0" fontId="23" fillId="33" borderId="47" xfId="0" applyFont="1" applyFill="1" applyBorder="1" applyAlignment="1">
      <alignment/>
    </xf>
    <xf numFmtId="0" fontId="23" fillId="33" borderId="58" xfId="0" applyFont="1" applyFill="1" applyBorder="1" applyAlignment="1">
      <alignment/>
    </xf>
    <xf numFmtId="0" fontId="23" fillId="33" borderId="59" xfId="0" applyFont="1" applyFill="1" applyBorder="1" applyAlignment="1">
      <alignment/>
    </xf>
    <xf numFmtId="0" fontId="23" fillId="33" borderId="60" xfId="0" applyFont="1" applyFill="1" applyBorder="1" applyAlignment="1">
      <alignment/>
    </xf>
    <xf numFmtId="0" fontId="23" fillId="33" borderId="61" xfId="0" applyFont="1" applyFill="1" applyBorder="1" applyAlignment="1">
      <alignment/>
    </xf>
    <xf numFmtId="0" fontId="23" fillId="33" borderId="44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23" fillId="33" borderId="22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6" borderId="44" xfId="0" applyFont="1" applyFill="1" applyBorder="1" applyAlignment="1">
      <alignment/>
    </xf>
    <xf numFmtId="0" fontId="23" fillId="36" borderId="27" xfId="0" applyFont="1" applyFill="1" applyBorder="1" applyAlignment="1">
      <alignment/>
    </xf>
    <xf numFmtId="0" fontId="23" fillId="36" borderId="22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0" fontId="23" fillId="36" borderId="49" xfId="0" applyFont="1" applyFill="1" applyBorder="1" applyAlignment="1">
      <alignment/>
    </xf>
    <xf numFmtId="0" fontId="23" fillId="36" borderId="50" xfId="0" applyFont="1" applyFill="1" applyBorder="1" applyAlignment="1">
      <alignment/>
    </xf>
    <xf numFmtId="0" fontId="23" fillId="36" borderId="36" xfId="0" applyFont="1" applyFill="1" applyBorder="1" applyAlignment="1">
      <alignment/>
    </xf>
    <xf numFmtId="0" fontId="23" fillId="36" borderId="35" xfId="0" applyFont="1" applyFill="1" applyBorder="1" applyAlignment="1">
      <alignment/>
    </xf>
    <xf numFmtId="0" fontId="23" fillId="0" borderId="66" xfId="0" applyFont="1" applyFill="1" applyBorder="1" applyAlignment="1">
      <alignment horizontal="center"/>
    </xf>
    <xf numFmtId="0" fontId="23" fillId="0" borderId="67" xfId="0" applyFont="1" applyFill="1" applyBorder="1" applyAlignment="1">
      <alignment horizontal="center"/>
    </xf>
    <xf numFmtId="0" fontId="23" fillId="0" borderId="68" xfId="0" applyFont="1" applyFill="1" applyBorder="1" applyAlignment="1">
      <alignment horizontal="center"/>
    </xf>
    <xf numFmtId="0" fontId="23" fillId="0" borderId="69" xfId="0" applyFont="1" applyFill="1" applyBorder="1" applyAlignment="1">
      <alignment horizontal="center"/>
    </xf>
    <xf numFmtId="0" fontId="23" fillId="0" borderId="70" xfId="0" applyFont="1" applyFill="1" applyBorder="1" applyAlignment="1">
      <alignment horizontal="center"/>
    </xf>
    <xf numFmtId="0" fontId="23" fillId="0" borderId="71" xfId="0" applyFont="1" applyFill="1" applyBorder="1" applyAlignment="1">
      <alignment horizontal="center"/>
    </xf>
    <xf numFmtId="0" fontId="23" fillId="0" borderId="7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73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23" fillId="7" borderId="68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70" xfId="0" applyFont="1" applyBorder="1" applyAlignment="1">
      <alignment/>
    </xf>
    <xf numFmtId="0" fontId="23" fillId="0" borderId="66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0" fontId="23" fillId="7" borderId="17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left" vertical="center"/>
    </xf>
    <xf numFmtId="0" fontId="22" fillId="35" borderId="25" xfId="0" applyFont="1" applyFill="1" applyBorder="1" applyAlignment="1">
      <alignment horizontal="center"/>
    </xf>
    <xf numFmtId="172" fontId="23" fillId="35" borderId="27" xfId="0" applyNumberFormat="1" applyFont="1" applyFill="1" applyBorder="1" applyAlignment="1">
      <alignment horizontal="right" vertical="center" wrapText="1"/>
    </xf>
    <xf numFmtId="0" fontId="23" fillId="35" borderId="25" xfId="0" applyFont="1" applyFill="1" applyBorder="1" applyAlignment="1">
      <alignment horizontal="center" vertical="center" wrapText="1"/>
    </xf>
    <xf numFmtId="188" fontId="23" fillId="35" borderId="22" xfId="63" applyNumberFormat="1" applyFont="1" applyFill="1" applyBorder="1" applyAlignment="1">
      <alignment horizontal="right" vertical="center" wrapText="1"/>
    </xf>
    <xf numFmtId="188" fontId="23" fillId="35" borderId="12" xfId="63" applyNumberFormat="1" applyFont="1" applyFill="1" applyBorder="1" applyAlignment="1">
      <alignment horizontal="right" vertical="center" wrapText="1"/>
    </xf>
    <xf numFmtId="172" fontId="23" fillId="35" borderId="12" xfId="0" applyNumberFormat="1" applyFont="1" applyFill="1" applyBorder="1" applyAlignment="1">
      <alignment horizontal="right" vertical="center" wrapText="1"/>
    </xf>
    <xf numFmtId="0" fontId="22" fillId="33" borderId="19" xfId="0" applyFont="1" applyFill="1" applyBorder="1" applyAlignment="1">
      <alignment horizontal="center"/>
    </xf>
    <xf numFmtId="175" fontId="23" fillId="33" borderId="46" xfId="0" applyNumberFormat="1" applyFont="1" applyFill="1" applyBorder="1" applyAlignment="1">
      <alignment horizontal="right" vertical="center" wrapText="1"/>
    </xf>
    <xf numFmtId="0" fontId="23" fillId="33" borderId="19" xfId="0" applyFont="1" applyFill="1" applyBorder="1" applyAlignment="1">
      <alignment horizontal="center" vertical="center" wrapText="1"/>
    </xf>
    <xf numFmtId="175" fontId="94" fillId="0" borderId="64" xfId="54" applyNumberFormat="1" applyFont="1" applyFill="1" applyBorder="1" applyAlignment="1">
      <alignment horizontal="right"/>
      <protection/>
    </xf>
    <xf numFmtId="175" fontId="94" fillId="0" borderId="74" xfId="54" applyNumberFormat="1" applyFont="1" applyFill="1" applyBorder="1" applyAlignment="1">
      <alignment horizontal="right"/>
      <protection/>
    </xf>
    <xf numFmtId="175" fontId="94" fillId="0" borderId="65" xfId="54" applyNumberFormat="1" applyFont="1" applyFill="1" applyBorder="1" applyAlignment="1">
      <alignment horizontal="right"/>
      <protection/>
    </xf>
    <xf numFmtId="0" fontId="22" fillId="7" borderId="13" xfId="0" applyFont="1" applyFill="1" applyBorder="1" applyAlignment="1">
      <alignment horizontal="center"/>
    </xf>
    <xf numFmtId="172" fontId="23" fillId="7" borderId="21" xfId="0" applyNumberFormat="1" applyFont="1" applyFill="1" applyBorder="1" applyAlignment="1">
      <alignment horizontal="right"/>
    </xf>
    <xf numFmtId="0" fontId="23" fillId="7" borderId="13" xfId="0" applyFont="1" applyFill="1" applyBorder="1" applyAlignment="1">
      <alignment horizontal="center"/>
    </xf>
    <xf numFmtId="172" fontId="23" fillId="7" borderId="20" xfId="0" applyNumberFormat="1" applyFont="1" applyFill="1" applyBorder="1" applyAlignment="1">
      <alignment horizontal="right"/>
    </xf>
    <xf numFmtId="172" fontId="23" fillId="7" borderId="13" xfId="0" applyNumberFormat="1" applyFont="1" applyFill="1" applyBorder="1" applyAlignment="1">
      <alignment horizontal="right"/>
    </xf>
    <xf numFmtId="172" fontId="23" fillId="7" borderId="39" xfId="0" applyNumberFormat="1" applyFont="1" applyFill="1" applyBorder="1" applyAlignment="1">
      <alignment horizontal="right"/>
    </xf>
    <xf numFmtId="175" fontId="23" fillId="7" borderId="21" xfId="0" applyNumberFormat="1" applyFont="1" applyFill="1" applyBorder="1" applyAlignment="1">
      <alignment horizontal="right"/>
    </xf>
    <xf numFmtId="175" fontId="23" fillId="7" borderId="20" xfId="0" applyNumberFormat="1" applyFont="1" applyFill="1" applyBorder="1" applyAlignment="1">
      <alignment horizontal="right"/>
    </xf>
    <xf numFmtId="175" fontId="23" fillId="7" borderId="13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 horizontal="center"/>
    </xf>
    <xf numFmtId="175" fontId="23" fillId="0" borderId="21" xfId="0" applyNumberFormat="1" applyFont="1" applyFill="1" applyBorder="1" applyAlignment="1">
      <alignment horizontal="right"/>
    </xf>
    <xf numFmtId="0" fontId="23" fillId="33" borderId="20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175" fontId="94" fillId="0" borderId="20" xfId="54" applyNumberFormat="1" applyFont="1" applyFill="1" applyBorder="1" applyAlignment="1">
      <alignment horizontal="right"/>
      <protection/>
    </xf>
    <xf numFmtId="172" fontId="94" fillId="0" borderId="13" xfId="54" applyNumberFormat="1" applyFont="1" applyFill="1" applyBorder="1" applyAlignment="1">
      <alignment horizontal="right"/>
      <protection/>
    </xf>
    <xf numFmtId="172" fontId="94" fillId="0" borderId="39" xfId="54" applyNumberFormat="1" applyFont="1" applyFill="1" applyBorder="1" applyAlignment="1">
      <alignment horizontal="right"/>
      <protection/>
    </xf>
    <xf numFmtId="0" fontId="23" fillId="33" borderId="13" xfId="0" applyFont="1" applyFill="1" applyBorder="1" applyAlignment="1">
      <alignment horizontal="center"/>
    </xf>
    <xf numFmtId="175" fontId="94" fillId="0" borderId="13" xfId="54" applyNumberFormat="1" applyFont="1" applyFill="1" applyBorder="1" applyAlignment="1">
      <alignment horizontal="right"/>
      <protection/>
    </xf>
    <xf numFmtId="175" fontId="94" fillId="0" borderId="39" xfId="54" applyNumberFormat="1" applyFont="1" applyFill="1" applyBorder="1" applyAlignment="1">
      <alignment horizontal="right"/>
      <protection/>
    </xf>
    <xf numFmtId="49" fontId="22" fillId="0" borderId="36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/>
    </xf>
    <xf numFmtId="175" fontId="23" fillId="0" borderId="57" xfId="0" applyNumberFormat="1" applyFont="1" applyFill="1" applyBorder="1" applyAlignment="1">
      <alignment horizontal="right"/>
    </xf>
    <xf numFmtId="0" fontId="23" fillId="33" borderId="36" xfId="0" applyFont="1" applyFill="1" applyBorder="1" applyAlignment="1">
      <alignment horizontal="center"/>
    </xf>
    <xf numFmtId="0" fontId="22" fillId="33" borderId="75" xfId="0" applyFont="1" applyFill="1" applyBorder="1" applyAlignment="1">
      <alignment horizontal="center"/>
    </xf>
    <xf numFmtId="0" fontId="23" fillId="33" borderId="75" xfId="0" applyFont="1" applyFill="1" applyBorder="1" applyAlignment="1">
      <alignment horizontal="center"/>
    </xf>
    <xf numFmtId="175" fontId="23" fillId="0" borderId="46" xfId="0" applyNumberFormat="1" applyFont="1" applyFill="1" applyBorder="1" applyAlignment="1">
      <alignment horizontal="right"/>
    </xf>
    <xf numFmtId="0" fontId="23" fillId="33" borderId="76" xfId="0" applyFont="1" applyFill="1" applyBorder="1" applyAlignment="1">
      <alignment horizontal="center"/>
    </xf>
    <xf numFmtId="175" fontId="94" fillId="0" borderId="53" xfId="54" applyNumberFormat="1" applyFont="1" applyFill="1" applyBorder="1" applyAlignment="1">
      <alignment horizontal="right"/>
      <protection/>
    </xf>
    <xf numFmtId="175" fontId="94" fillId="0" borderId="76" xfId="54" applyNumberFormat="1" applyFont="1" applyFill="1" applyBorder="1" applyAlignment="1">
      <alignment horizontal="right"/>
      <protection/>
    </xf>
    <xf numFmtId="175" fontId="94" fillId="0" borderId="54" xfId="54" applyNumberFormat="1" applyFont="1" applyFill="1" applyBorder="1" applyAlignment="1">
      <alignment horizontal="right"/>
      <protection/>
    </xf>
    <xf numFmtId="0" fontId="32" fillId="7" borderId="13" xfId="0" applyFont="1" applyFill="1" applyBorder="1" applyAlignment="1">
      <alignment horizontal="center"/>
    </xf>
    <xf numFmtId="175" fontId="94" fillId="7" borderId="20" xfId="54" applyNumberFormat="1" applyFont="1" applyFill="1" applyBorder="1" applyAlignment="1">
      <alignment horizontal="right"/>
      <protection/>
    </xf>
    <xf numFmtId="175" fontId="94" fillId="7" borderId="13" xfId="54" applyNumberFormat="1" applyFont="1" applyFill="1" applyBorder="1" applyAlignment="1">
      <alignment horizontal="right"/>
      <protection/>
    </xf>
    <xf numFmtId="175" fontId="94" fillId="7" borderId="39" xfId="54" applyNumberFormat="1" applyFont="1" applyFill="1" applyBorder="1" applyAlignment="1">
      <alignment horizontal="right"/>
      <protection/>
    </xf>
    <xf numFmtId="175" fontId="94" fillId="0" borderId="18" xfId="54" applyNumberFormat="1" applyFont="1" applyFill="1" applyBorder="1" applyAlignment="1">
      <alignment horizontal="right"/>
      <protection/>
    </xf>
    <xf numFmtId="175" fontId="94" fillId="0" borderId="19" xfId="54" applyNumberFormat="1" applyFont="1" applyFill="1" applyBorder="1" applyAlignment="1">
      <alignment horizontal="right"/>
      <protection/>
    </xf>
    <xf numFmtId="175" fontId="94" fillId="0" borderId="47" xfId="54" applyNumberFormat="1" applyFont="1" applyFill="1" applyBorder="1" applyAlignment="1">
      <alignment horizontal="right"/>
      <protection/>
    </xf>
    <xf numFmtId="49" fontId="32" fillId="0" borderId="33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/>
    </xf>
    <xf numFmtId="0" fontId="22" fillId="33" borderId="34" xfId="0" applyFont="1" applyFill="1" applyBorder="1" applyAlignment="1">
      <alignment horizontal="center"/>
    </xf>
    <xf numFmtId="175" fontId="94" fillId="0" borderId="60" xfId="54" applyNumberFormat="1" applyFont="1" applyFill="1" applyBorder="1" applyAlignment="1">
      <alignment horizontal="right"/>
      <protection/>
    </xf>
    <xf numFmtId="175" fontId="94" fillId="0" borderId="77" xfId="54" applyNumberFormat="1" applyFont="1" applyFill="1" applyBorder="1" applyAlignment="1">
      <alignment horizontal="right"/>
      <protection/>
    </xf>
    <xf numFmtId="175" fontId="94" fillId="0" borderId="61" xfId="54" applyNumberFormat="1" applyFont="1" applyFill="1" applyBorder="1" applyAlignment="1">
      <alignment horizontal="right"/>
      <protection/>
    </xf>
    <xf numFmtId="0" fontId="23" fillId="33" borderId="3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175" fontId="23" fillId="0" borderId="56" xfId="0" applyNumberFormat="1" applyFont="1" applyFill="1" applyBorder="1" applyAlignment="1">
      <alignment horizontal="right"/>
    </xf>
    <xf numFmtId="0" fontId="22" fillId="33" borderId="77" xfId="0" applyFont="1" applyFill="1" applyBorder="1" applyAlignment="1">
      <alignment horizontal="center"/>
    </xf>
    <xf numFmtId="175" fontId="94" fillId="0" borderId="33" xfId="54" applyNumberFormat="1" applyFont="1" applyFill="1" applyBorder="1" applyAlignment="1">
      <alignment horizontal="right"/>
      <protection/>
    </xf>
    <xf numFmtId="175" fontId="94" fillId="0" borderId="34" xfId="54" applyNumberFormat="1" applyFont="1" applyFill="1" applyBorder="1" applyAlignment="1">
      <alignment horizontal="right"/>
      <protection/>
    </xf>
    <xf numFmtId="0" fontId="23" fillId="33" borderId="77" xfId="0" applyFont="1" applyFill="1" applyBorder="1" applyAlignment="1">
      <alignment horizontal="center"/>
    </xf>
    <xf numFmtId="0" fontId="22" fillId="33" borderId="76" xfId="0" applyFont="1" applyFill="1" applyBorder="1" applyAlignment="1">
      <alignment horizontal="center"/>
    </xf>
    <xf numFmtId="0" fontId="23" fillId="33" borderId="76" xfId="0" applyFont="1" applyFill="1" applyBorder="1" applyAlignment="1">
      <alignment horizontal="center"/>
    </xf>
    <xf numFmtId="175" fontId="94" fillId="0" borderId="78" xfId="54" applyNumberFormat="1" applyFont="1" applyFill="1" applyBorder="1" applyAlignment="1">
      <alignment horizontal="right"/>
      <protection/>
    </xf>
    <xf numFmtId="175" fontId="94" fillId="0" borderId="79" xfId="54" applyNumberFormat="1" applyFont="1" applyFill="1" applyBorder="1" applyAlignment="1">
      <alignment horizontal="right"/>
      <protection/>
    </xf>
    <xf numFmtId="175" fontId="94" fillId="0" borderId="75" xfId="54" applyNumberFormat="1" applyFont="1" applyFill="1" applyBorder="1" applyAlignment="1">
      <alignment horizontal="right"/>
      <protection/>
    </xf>
    <xf numFmtId="175" fontId="94" fillId="0" borderId="35" xfId="54" applyNumberFormat="1" applyFont="1" applyFill="1" applyBorder="1" applyAlignment="1">
      <alignment horizontal="right"/>
      <protection/>
    </xf>
    <xf numFmtId="175" fontId="94" fillId="0" borderId="57" xfId="54" applyNumberFormat="1" applyFont="1" applyFill="1" applyBorder="1" applyAlignment="1">
      <alignment horizontal="right"/>
      <protection/>
    </xf>
    <xf numFmtId="0" fontId="22" fillId="0" borderId="76" xfId="0" applyFont="1" applyFill="1" applyBorder="1" applyAlignment="1">
      <alignment horizontal="center"/>
    </xf>
    <xf numFmtId="175" fontId="23" fillId="0" borderId="54" xfId="0" applyNumberFormat="1" applyFont="1" applyFill="1" applyBorder="1" applyAlignment="1">
      <alignment horizontal="right"/>
    </xf>
    <xf numFmtId="0" fontId="22" fillId="0" borderId="19" xfId="0" applyFont="1" applyBorder="1" applyAlignment="1">
      <alignment horizontal="center" vertical="center"/>
    </xf>
    <xf numFmtId="175" fontId="23" fillId="0" borderId="46" xfId="0" applyNumberFormat="1" applyFont="1" applyFill="1" applyBorder="1" applyAlignment="1">
      <alignment horizontal="right" vertical="center"/>
    </xf>
    <xf numFmtId="0" fontId="23" fillId="33" borderId="53" xfId="0" applyFont="1" applyFill="1" applyBorder="1" applyAlignment="1">
      <alignment horizontal="center" vertical="center"/>
    </xf>
    <xf numFmtId="0" fontId="22" fillId="33" borderId="76" xfId="0" applyFont="1" applyFill="1" applyBorder="1" applyAlignment="1">
      <alignment horizontal="center" vertical="center"/>
    </xf>
    <xf numFmtId="0" fontId="23" fillId="33" borderId="54" xfId="0" applyFont="1" applyFill="1" applyBorder="1" applyAlignment="1">
      <alignment horizontal="center" vertical="center"/>
    </xf>
    <xf numFmtId="175" fontId="94" fillId="0" borderId="76" xfId="54" applyNumberFormat="1" applyFont="1" applyFill="1" applyBorder="1" applyAlignment="1">
      <alignment horizontal="right" vertical="center"/>
      <protection/>
    </xf>
    <xf numFmtId="175" fontId="94" fillId="0" borderId="54" xfId="54" applyNumberFormat="1" applyFont="1" applyFill="1" applyBorder="1" applyAlignment="1">
      <alignment horizontal="right" vertical="center"/>
      <protection/>
    </xf>
    <xf numFmtId="0" fontId="22" fillId="0" borderId="34" xfId="0" applyFont="1" applyBorder="1" applyAlignment="1">
      <alignment horizontal="center" vertical="center"/>
    </xf>
    <xf numFmtId="175" fontId="23" fillId="0" borderId="57" xfId="0" applyNumberFormat="1" applyFont="1" applyFill="1" applyBorder="1" applyAlignment="1">
      <alignment horizontal="right" vertical="center"/>
    </xf>
    <xf numFmtId="0" fontId="23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175" fontId="94" fillId="0" borderId="34" xfId="54" applyNumberFormat="1" applyFont="1" applyFill="1" applyBorder="1" applyAlignment="1">
      <alignment horizontal="right" vertical="center"/>
      <protection/>
    </xf>
    <xf numFmtId="175" fontId="94" fillId="0" borderId="57" xfId="54" applyNumberFormat="1" applyFont="1" applyFill="1" applyBorder="1" applyAlignment="1">
      <alignment horizontal="right" vertical="center"/>
      <protection/>
    </xf>
    <xf numFmtId="175" fontId="23" fillId="0" borderId="52" xfId="0" applyNumberFormat="1" applyFont="1" applyFill="1" applyBorder="1" applyAlignment="1">
      <alignment horizontal="right"/>
    </xf>
    <xf numFmtId="0" fontId="23" fillId="33" borderId="19" xfId="0" applyFont="1" applyFill="1" applyBorder="1" applyAlignment="1">
      <alignment horizontal="center"/>
    </xf>
    <xf numFmtId="0" fontId="23" fillId="33" borderId="77" xfId="0" applyFont="1" applyFill="1" applyBorder="1" applyAlignment="1">
      <alignment horizontal="center"/>
    </xf>
    <xf numFmtId="0" fontId="22" fillId="0" borderId="77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left" vertical="center"/>
    </xf>
    <xf numFmtId="0" fontId="22" fillId="36" borderId="25" xfId="0" applyFont="1" applyFill="1" applyBorder="1" applyAlignment="1">
      <alignment horizontal="center"/>
    </xf>
    <xf numFmtId="175" fontId="23" fillId="36" borderId="12" xfId="0" applyNumberFormat="1" applyFont="1" applyFill="1" applyBorder="1" applyAlignment="1">
      <alignment horizontal="right"/>
    </xf>
    <xf numFmtId="175" fontId="94" fillId="36" borderId="22" xfId="54" applyNumberFormat="1" applyFont="1" applyFill="1" applyBorder="1" applyAlignment="1">
      <alignment horizontal="right"/>
      <protection/>
    </xf>
    <xf numFmtId="175" fontId="94" fillId="36" borderId="25" xfId="54" applyNumberFormat="1" applyFont="1" applyFill="1" applyBorder="1" applyAlignment="1">
      <alignment horizontal="right"/>
      <protection/>
    </xf>
    <xf numFmtId="175" fontId="94" fillId="36" borderId="12" xfId="54" applyNumberFormat="1" applyFont="1" applyFill="1" applyBorder="1" applyAlignment="1">
      <alignment horizontal="right"/>
      <protection/>
    </xf>
    <xf numFmtId="0" fontId="23" fillId="36" borderId="25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175" fontId="23" fillId="7" borderId="46" xfId="0" applyNumberFormat="1" applyFont="1" applyFill="1" applyBorder="1" applyAlignment="1">
      <alignment horizontal="right"/>
    </xf>
    <xf numFmtId="175" fontId="94" fillId="7" borderId="18" xfId="54" applyNumberFormat="1" applyFont="1" applyFill="1" applyBorder="1" applyAlignment="1">
      <alignment horizontal="right"/>
      <protection/>
    </xf>
    <xf numFmtId="175" fontId="94" fillId="7" borderId="47" xfId="54" applyNumberFormat="1" applyFont="1" applyFill="1" applyBorder="1" applyAlignment="1">
      <alignment horizontal="right"/>
      <protection/>
    </xf>
    <xf numFmtId="0" fontId="23" fillId="7" borderId="19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2" fontId="22" fillId="33" borderId="13" xfId="0" applyNumberFormat="1" applyFont="1" applyFill="1" applyBorder="1" applyAlignment="1">
      <alignment horizontal="center"/>
    </xf>
    <xf numFmtId="0" fontId="23" fillId="33" borderId="34" xfId="0" applyFont="1" applyFill="1" applyBorder="1" applyAlignment="1">
      <alignment horizontal="center" vertical="center"/>
    </xf>
    <xf numFmtId="0" fontId="22" fillId="36" borderId="64" xfId="0" applyFont="1" applyFill="1" applyBorder="1" applyAlignment="1">
      <alignment horizontal="center" vertical="center"/>
    </xf>
    <xf numFmtId="0" fontId="22" fillId="36" borderId="74" xfId="0" applyFont="1" applyFill="1" applyBorder="1" applyAlignment="1">
      <alignment horizontal="center"/>
    </xf>
    <xf numFmtId="0" fontId="22" fillId="36" borderId="74" xfId="0" applyFont="1" applyFill="1" applyBorder="1" applyAlignment="1">
      <alignment/>
    </xf>
    <xf numFmtId="0" fontId="22" fillId="36" borderId="65" xfId="0" applyFont="1" applyFill="1" applyBorder="1" applyAlignment="1">
      <alignment/>
    </xf>
    <xf numFmtId="175" fontId="94" fillId="36" borderId="36" xfId="54" applyNumberFormat="1" applyFont="1" applyFill="1" applyBorder="1" applyAlignment="1">
      <alignment horizontal="right"/>
      <protection/>
    </xf>
    <xf numFmtId="175" fontId="94" fillId="36" borderId="75" xfId="54" applyNumberFormat="1" applyFont="1" applyFill="1" applyBorder="1" applyAlignment="1">
      <alignment horizontal="right"/>
      <protection/>
    </xf>
    <xf numFmtId="175" fontId="94" fillId="36" borderId="35" xfId="54" applyNumberFormat="1" applyFont="1" applyFill="1" applyBorder="1" applyAlignment="1">
      <alignment horizontal="right"/>
      <protection/>
    </xf>
    <xf numFmtId="0" fontId="23" fillId="36" borderId="74" xfId="0" applyFont="1" applyFill="1" applyBorder="1" applyAlignment="1">
      <alignment/>
    </xf>
    <xf numFmtId="0" fontId="22" fillId="0" borderId="76" xfId="0" applyFont="1" applyBorder="1" applyAlignment="1">
      <alignment horizontal="center"/>
    </xf>
    <xf numFmtId="0" fontId="22" fillId="33" borderId="76" xfId="0" applyFont="1" applyFill="1" applyBorder="1" applyAlignment="1">
      <alignment/>
    </xf>
    <xf numFmtId="0" fontId="22" fillId="33" borderId="54" xfId="0" applyFont="1" applyFill="1" applyBorder="1" applyAlignment="1">
      <alignment/>
    </xf>
    <xf numFmtId="0" fontId="23" fillId="33" borderId="76" xfId="0" applyFont="1" applyFill="1" applyBorder="1" applyAlignment="1">
      <alignment/>
    </xf>
    <xf numFmtId="0" fontId="22" fillId="0" borderId="34" xfId="0" applyFont="1" applyBorder="1" applyAlignment="1">
      <alignment horizontal="center"/>
    </xf>
    <xf numFmtId="0" fontId="22" fillId="33" borderId="34" xfId="0" applyFont="1" applyFill="1" applyBorder="1" applyAlignment="1">
      <alignment/>
    </xf>
    <xf numFmtId="0" fontId="22" fillId="33" borderId="57" xfId="0" applyFont="1" applyFill="1" applyBorder="1" applyAlignment="1">
      <alignment/>
    </xf>
    <xf numFmtId="0" fontId="23" fillId="33" borderId="34" xfId="0" applyFont="1" applyFill="1" applyBorder="1" applyAlignment="1">
      <alignment/>
    </xf>
    <xf numFmtId="2" fontId="22" fillId="0" borderId="19" xfId="0" applyNumberFormat="1" applyFont="1" applyBorder="1" applyAlignment="1">
      <alignment horizontal="center"/>
    </xf>
    <xf numFmtId="0" fontId="22" fillId="33" borderId="19" xfId="0" applyFont="1" applyFill="1" applyBorder="1" applyAlignment="1">
      <alignment/>
    </xf>
    <xf numFmtId="0" fontId="22" fillId="33" borderId="47" xfId="0" applyFont="1" applyFill="1" applyBorder="1" applyAlignment="1">
      <alignment/>
    </xf>
    <xf numFmtId="0" fontId="23" fillId="33" borderId="19" xfId="0" applyFont="1" applyFill="1" applyBorder="1" applyAlignment="1">
      <alignment/>
    </xf>
    <xf numFmtId="0" fontId="22" fillId="33" borderId="77" xfId="0" applyFont="1" applyFill="1" applyBorder="1" applyAlignment="1">
      <alignment/>
    </xf>
    <xf numFmtId="0" fontId="22" fillId="33" borderId="61" xfId="0" applyFont="1" applyFill="1" applyBorder="1" applyAlignment="1">
      <alignment/>
    </xf>
    <xf numFmtId="0" fontId="23" fillId="33" borderId="77" xfId="0" applyFont="1" applyFill="1" applyBorder="1" applyAlignment="1">
      <alignment/>
    </xf>
    <xf numFmtId="0" fontId="22" fillId="0" borderId="19" xfId="0" applyFont="1" applyBorder="1" applyAlignment="1">
      <alignment horizontal="center"/>
    </xf>
    <xf numFmtId="0" fontId="23" fillId="36" borderId="74" xfId="0" applyFont="1" applyFill="1" applyBorder="1" applyAlignment="1">
      <alignment horizontal="left" vertical="center" wrapText="1"/>
    </xf>
    <xf numFmtId="0" fontId="22" fillId="36" borderId="25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/>
    </xf>
    <xf numFmtId="175" fontId="94" fillId="36" borderId="22" xfId="54" applyNumberFormat="1" applyFont="1" applyFill="1" applyBorder="1" applyAlignment="1">
      <alignment horizontal="right" vertical="center"/>
      <protection/>
    </xf>
    <xf numFmtId="175" fontId="94" fillId="36" borderId="25" xfId="54" applyNumberFormat="1" applyFont="1" applyFill="1" applyBorder="1" applyAlignment="1">
      <alignment horizontal="right" vertical="center"/>
      <protection/>
    </xf>
    <xf numFmtId="175" fontId="94" fillId="36" borderId="12" xfId="54" applyNumberFormat="1" applyFont="1" applyFill="1" applyBorder="1" applyAlignment="1">
      <alignment horizontal="right" vertical="center"/>
      <protection/>
    </xf>
    <xf numFmtId="49" fontId="22" fillId="0" borderId="22" xfId="0" applyNumberFormat="1" applyFont="1" applyBorder="1" applyAlignment="1">
      <alignment horizontal="center" vertical="center"/>
    </xf>
    <xf numFmtId="0" fontId="22" fillId="0" borderId="75" xfId="0" applyFont="1" applyBorder="1" applyAlignment="1">
      <alignment horizontal="center"/>
    </xf>
    <xf numFmtId="0" fontId="22" fillId="33" borderId="25" xfId="0" applyFont="1" applyFill="1" applyBorder="1" applyAlignment="1">
      <alignment/>
    </xf>
    <xf numFmtId="0" fontId="23" fillId="33" borderId="36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3" fillId="33" borderId="25" xfId="0" applyFont="1" applyFill="1" applyBorder="1" applyAlignment="1">
      <alignment/>
    </xf>
    <xf numFmtId="0" fontId="22" fillId="36" borderId="25" xfId="0" applyFont="1" applyFill="1" applyBorder="1" applyAlignment="1">
      <alignment/>
    </xf>
    <xf numFmtId="0" fontId="22" fillId="36" borderId="35" xfId="0" applyFont="1" applyFill="1" applyBorder="1" applyAlignment="1">
      <alignment/>
    </xf>
    <xf numFmtId="0" fontId="23" fillId="36" borderId="25" xfId="0" applyFont="1" applyFill="1" applyBorder="1" applyAlignment="1">
      <alignment/>
    </xf>
    <xf numFmtId="0" fontId="22" fillId="36" borderId="36" xfId="0" applyFont="1" applyFill="1" applyBorder="1" applyAlignment="1">
      <alignment horizontal="center" vertical="center"/>
    </xf>
    <xf numFmtId="0" fontId="22" fillId="36" borderId="75" xfId="0" applyFont="1" applyFill="1" applyBorder="1" applyAlignment="1">
      <alignment/>
    </xf>
    <xf numFmtId="0" fontId="23" fillId="36" borderId="75" xfId="0" applyFont="1" applyFill="1" applyBorder="1" applyAlignment="1">
      <alignment/>
    </xf>
    <xf numFmtId="0" fontId="22" fillId="0" borderId="66" xfId="0" applyFont="1" applyBorder="1" applyAlignment="1">
      <alignment/>
    </xf>
    <xf numFmtId="0" fontId="23" fillId="0" borderId="66" xfId="0" applyFont="1" applyFill="1" applyBorder="1" applyAlignment="1">
      <alignment horizontal="right"/>
    </xf>
    <xf numFmtId="0" fontId="22" fillId="0" borderId="66" xfId="0" applyFont="1" applyBorder="1" applyAlignment="1">
      <alignment horizontal="center"/>
    </xf>
    <xf numFmtId="0" fontId="6" fillId="0" borderId="53" xfId="0" applyFont="1" applyFill="1" applyBorder="1" applyAlignment="1">
      <alignment/>
    </xf>
    <xf numFmtId="0" fontId="6" fillId="0" borderId="76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22" fillId="0" borderId="70" xfId="0" applyFont="1" applyBorder="1" applyAlignment="1">
      <alignment horizontal="center"/>
    </xf>
    <xf numFmtId="0" fontId="22" fillId="0" borderId="70" xfId="0" applyFont="1" applyBorder="1" applyAlignment="1">
      <alignment/>
    </xf>
    <xf numFmtId="0" fontId="22" fillId="0" borderId="67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7" xfId="0" applyFont="1" applyFill="1" applyBorder="1" applyAlignment="1">
      <alignment horizontal="right"/>
    </xf>
    <xf numFmtId="0" fontId="23" fillId="0" borderId="68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23" fillId="0" borderId="80" xfId="0" applyFont="1" applyFill="1" applyBorder="1" applyAlignment="1">
      <alignment horizontal="center"/>
    </xf>
    <xf numFmtId="0" fontId="22" fillId="0" borderId="69" xfId="0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72" xfId="0" applyFont="1" applyBorder="1" applyAlignment="1">
      <alignment/>
    </xf>
    <xf numFmtId="0" fontId="23" fillId="0" borderId="72" xfId="0" applyFont="1" applyFill="1" applyBorder="1" applyAlignment="1">
      <alignment horizontal="center"/>
    </xf>
    <xf numFmtId="0" fontId="22" fillId="0" borderId="71" xfId="0" applyFont="1" applyBorder="1" applyAlignment="1">
      <alignment/>
    </xf>
    <xf numFmtId="0" fontId="22" fillId="0" borderId="72" xfId="0" applyFont="1" applyBorder="1" applyAlignment="1">
      <alignment horizontal="center"/>
    </xf>
    <xf numFmtId="0" fontId="2" fillId="0" borderId="57" xfId="0" applyFont="1" applyFill="1" applyBorder="1" applyAlignment="1">
      <alignment/>
    </xf>
    <xf numFmtId="0" fontId="22" fillId="0" borderId="71" xfId="0" applyFont="1" applyBorder="1" applyAlignment="1">
      <alignment horizontal="center"/>
    </xf>
    <xf numFmtId="0" fontId="22" fillId="0" borderId="81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8" xfId="0" applyFont="1" applyBorder="1" applyAlignment="1">
      <alignment/>
    </xf>
    <xf numFmtId="0" fontId="22" fillId="0" borderId="81" xfId="0" applyFont="1" applyBorder="1" applyAlignment="1">
      <alignment horizontal="center"/>
    </xf>
    <xf numFmtId="0" fontId="22" fillId="0" borderId="37" xfId="0" applyFont="1" applyBorder="1" applyAlignment="1">
      <alignment/>
    </xf>
    <xf numFmtId="0" fontId="23" fillId="0" borderId="70" xfId="0" applyFont="1" applyFill="1" applyBorder="1" applyAlignment="1">
      <alignment horizontal="center"/>
    </xf>
    <xf numFmtId="0" fontId="23" fillId="0" borderId="71" xfId="0" applyFont="1" applyFill="1" applyBorder="1" applyAlignment="1">
      <alignment horizontal="center"/>
    </xf>
    <xf numFmtId="0" fontId="22" fillId="0" borderId="73" xfId="0" applyFont="1" applyBorder="1" applyAlignment="1">
      <alignment/>
    </xf>
    <xf numFmtId="0" fontId="32" fillId="0" borderId="66" xfId="0" applyFont="1" applyBorder="1" applyAlignment="1">
      <alignment/>
    </xf>
    <xf numFmtId="0" fontId="32" fillId="0" borderId="81" xfId="0" applyFont="1" applyBorder="1" applyAlignment="1">
      <alignment/>
    </xf>
    <xf numFmtId="49" fontId="22" fillId="0" borderId="66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2" fillId="0" borderId="66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2" fillId="0" borderId="67" xfId="0" applyFont="1" applyFill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31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" fillId="0" borderId="7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2" fillId="0" borderId="42" xfId="0" applyFont="1" applyBorder="1" applyAlignment="1">
      <alignment/>
    </xf>
    <xf numFmtId="172" fontId="23" fillId="0" borderId="66" xfId="0" applyNumberFormat="1" applyFont="1" applyFill="1" applyBorder="1" applyAlignment="1">
      <alignment horizontal="right"/>
    </xf>
    <xf numFmtId="0" fontId="22" fillId="0" borderId="43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172" fontId="6" fillId="0" borderId="22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23" fillId="0" borderId="41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23" fillId="0" borderId="30" xfId="0" applyFont="1" applyBorder="1" applyAlignment="1">
      <alignment horizontal="center"/>
    </xf>
    <xf numFmtId="1" fontId="22" fillId="0" borderId="66" xfId="0" applyNumberFormat="1" applyFont="1" applyBorder="1" applyAlignment="1">
      <alignment horizontal="center" vertical="center"/>
    </xf>
    <xf numFmtId="0" fontId="23" fillId="0" borderId="66" xfId="0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172" fontId="6" fillId="0" borderId="19" xfId="0" applyNumberFormat="1" applyFont="1" applyFill="1" applyBorder="1" applyAlignment="1">
      <alignment/>
    </xf>
    <xf numFmtId="172" fontId="6" fillId="0" borderId="47" xfId="0" applyNumberFormat="1" applyFont="1" applyFill="1" applyBorder="1" applyAlignment="1">
      <alignment/>
    </xf>
    <xf numFmtId="0" fontId="23" fillId="0" borderId="67" xfId="0" applyFont="1" applyFill="1" applyBorder="1" applyAlignment="1">
      <alignment horizontal="center"/>
    </xf>
    <xf numFmtId="49" fontId="22" fillId="7" borderId="68" xfId="0" applyNumberFormat="1" applyFont="1" applyFill="1" applyBorder="1" applyAlignment="1">
      <alignment horizontal="center" vertical="center"/>
    </xf>
    <xf numFmtId="0" fontId="22" fillId="7" borderId="68" xfId="0" applyFont="1" applyFill="1" applyBorder="1" applyAlignment="1">
      <alignment/>
    </xf>
    <xf numFmtId="0" fontId="23" fillId="7" borderId="68" xfId="0" applyFont="1" applyFill="1" applyBorder="1" applyAlignment="1">
      <alignment horizontal="right"/>
    </xf>
    <xf numFmtId="0" fontId="23" fillId="7" borderId="68" xfId="0" applyFont="1" applyFill="1" applyBorder="1" applyAlignment="1">
      <alignment horizontal="center"/>
    </xf>
    <xf numFmtId="0" fontId="32" fillId="7" borderId="68" xfId="0" applyFont="1" applyFill="1" applyBorder="1" applyAlignment="1">
      <alignment horizontal="center"/>
    </xf>
    <xf numFmtId="0" fontId="2" fillId="7" borderId="77" xfId="0" applyFont="1" applyFill="1" applyBorder="1" applyAlignment="1">
      <alignment/>
    </xf>
    <xf numFmtId="0" fontId="2" fillId="7" borderId="61" xfId="0" applyFont="1" applyFill="1" applyBorder="1" applyAlignment="1">
      <alignment/>
    </xf>
    <xf numFmtId="0" fontId="23" fillId="7" borderId="80" xfId="0" applyFont="1" applyFill="1" applyBorder="1" applyAlignment="1">
      <alignment horizontal="center"/>
    </xf>
    <xf numFmtId="0" fontId="23" fillId="0" borderId="72" xfId="0" applyFont="1" applyFill="1" applyBorder="1" applyAlignment="1">
      <alignment horizontal="right"/>
    </xf>
    <xf numFmtId="0" fontId="22" fillId="0" borderId="11" xfId="0" applyFont="1" applyBorder="1" applyAlignment="1">
      <alignment/>
    </xf>
    <xf numFmtId="0" fontId="23" fillId="0" borderId="11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" fillId="0" borderId="39" xfId="0" applyFont="1" applyFill="1" applyBorder="1" applyAlignment="1">
      <alignment/>
    </xf>
    <xf numFmtId="0" fontId="23" fillId="0" borderId="40" xfId="0" applyFont="1" applyFill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" fillId="0" borderId="77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2" fillId="0" borderId="52" xfId="0" applyFont="1" applyBorder="1" applyAlignment="1">
      <alignment/>
    </xf>
    <xf numFmtId="172" fontId="6" fillId="0" borderId="53" xfId="0" applyNumberFormat="1" applyFont="1" applyFill="1" applyBorder="1" applyAlignment="1">
      <alignment/>
    </xf>
    <xf numFmtId="172" fontId="6" fillId="0" borderId="76" xfId="0" applyNumberFormat="1" applyFont="1" applyFill="1" applyBorder="1" applyAlignment="1">
      <alignment/>
    </xf>
    <xf numFmtId="49" fontId="22" fillId="0" borderId="72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/>
    </xf>
    <xf numFmtId="49" fontId="22" fillId="7" borderId="17" xfId="0" applyNumberFormat="1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/>
    </xf>
    <xf numFmtId="0" fontId="23" fillId="7" borderId="66" xfId="0" applyFont="1" applyFill="1" applyBorder="1" applyAlignment="1">
      <alignment horizontal="right"/>
    </xf>
    <xf numFmtId="0" fontId="6" fillId="7" borderId="52" xfId="0" applyFont="1" applyFill="1" applyBorder="1" applyAlignment="1">
      <alignment/>
    </xf>
    <xf numFmtId="0" fontId="6" fillId="7" borderId="76" xfId="0" applyFont="1" applyFill="1" applyBorder="1" applyAlignment="1">
      <alignment/>
    </xf>
    <xf numFmtId="0" fontId="2" fillId="7" borderId="67" xfId="0" applyFont="1" applyFill="1" applyBorder="1" applyAlignment="1">
      <alignment/>
    </xf>
    <xf numFmtId="0" fontId="23" fillId="7" borderId="38" xfId="0" applyFont="1" applyFill="1" applyBorder="1" applyAlignment="1">
      <alignment horizontal="center"/>
    </xf>
    <xf numFmtId="49" fontId="22" fillId="7" borderId="11" xfId="0" applyNumberFormat="1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/>
    </xf>
    <xf numFmtId="172" fontId="23" fillId="7" borderId="11" xfId="0" applyNumberFormat="1" applyFont="1" applyFill="1" applyBorder="1" applyAlignment="1">
      <alignment horizontal="right"/>
    </xf>
    <xf numFmtId="0" fontId="23" fillId="7" borderId="11" xfId="0" applyNumberFormat="1" applyFont="1" applyFill="1" applyBorder="1" applyAlignment="1">
      <alignment horizontal="center"/>
    </xf>
    <xf numFmtId="172" fontId="6" fillId="7" borderId="32" xfId="0" applyNumberFormat="1" applyFont="1" applyFill="1" applyBorder="1" applyAlignment="1">
      <alignment/>
    </xf>
    <xf numFmtId="172" fontId="6" fillId="7" borderId="13" xfId="0" applyNumberFormat="1" applyFont="1" applyFill="1" applyBorder="1" applyAlignment="1">
      <alignment/>
    </xf>
    <xf numFmtId="0" fontId="2" fillId="7" borderId="40" xfId="0" applyFont="1" applyFill="1" applyBorder="1" applyAlignment="1">
      <alignment/>
    </xf>
    <xf numFmtId="0" fontId="23" fillId="7" borderId="4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172" fontId="23" fillId="0" borderId="11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22" fillId="0" borderId="11" xfId="0" applyNumberFormat="1" applyFont="1" applyBorder="1" applyAlignment="1">
      <alignment horizontal="center"/>
    </xf>
    <xf numFmtId="2" fontId="22" fillId="0" borderId="72" xfId="0" applyNumberFormat="1" applyFont="1" applyBorder="1" applyAlignment="1">
      <alignment horizontal="center"/>
    </xf>
    <xf numFmtId="0" fontId="22" fillId="7" borderId="13" xfId="0" applyFont="1" applyFill="1" applyBorder="1" applyAlignment="1">
      <alignment horizontal="left" vertical="center" wrapText="1"/>
    </xf>
    <xf numFmtId="0" fontId="22" fillId="0" borderId="75" xfId="0" applyFont="1" applyFill="1" applyBorder="1" applyAlignment="1">
      <alignment horizontal="left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36" borderId="25" xfId="0" applyFont="1" applyFill="1" applyBorder="1" applyAlignment="1">
      <alignment horizontal="left" vertical="center" wrapText="1"/>
    </xf>
    <xf numFmtId="0" fontId="23" fillId="36" borderId="7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left" vertical="center" wrapText="1"/>
    </xf>
    <xf numFmtId="0" fontId="22" fillId="0" borderId="76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3" fillId="7" borderId="17" xfId="0" applyFont="1" applyFill="1" applyBorder="1" applyAlignment="1">
      <alignment horizontal="left" vertical="center" wrapText="1"/>
    </xf>
    <xf numFmtId="0" fontId="23" fillId="7" borderId="11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84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vertical="center" wrapText="1"/>
      <protection locked="0"/>
    </xf>
    <xf numFmtId="172" fontId="2" fillId="0" borderId="46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NumberFormat="1" applyFont="1" applyFill="1" applyBorder="1" applyAlignment="1" applyProtection="1">
      <alignment vertical="center" wrapText="1"/>
      <protection locked="0"/>
    </xf>
    <xf numFmtId="1" fontId="2" fillId="0" borderId="82" xfId="0" applyNumberFormat="1" applyFont="1" applyFill="1" applyBorder="1" applyAlignment="1" applyProtection="1">
      <alignment horizontal="right" vertical="center"/>
      <protection locked="0"/>
    </xf>
    <xf numFmtId="1" fontId="2" fillId="0" borderId="20" xfId="0" applyNumberFormat="1" applyFont="1" applyFill="1" applyBorder="1" applyAlignment="1" applyProtection="1">
      <alignment horizontal="right" vertical="center"/>
      <protection locked="0"/>
    </xf>
    <xf numFmtId="172" fontId="2" fillId="0" borderId="21" xfId="0" applyNumberFormat="1" applyFont="1" applyFill="1" applyBorder="1" applyAlignment="1" applyProtection="1">
      <alignment horizontal="right" vertical="center"/>
      <protection locked="0"/>
    </xf>
    <xf numFmtId="175" fontId="18" fillId="0" borderId="17" xfId="0" applyNumberFormat="1" applyFont="1" applyFill="1" applyBorder="1" applyAlignment="1">
      <alignment vertical="center"/>
    </xf>
    <xf numFmtId="175" fontId="18" fillId="0" borderId="39" xfId="0" applyNumberFormat="1" applyFont="1" applyFill="1" applyBorder="1" applyAlignment="1">
      <alignment vertical="center"/>
    </xf>
    <xf numFmtId="2" fontId="18" fillId="0" borderId="21" xfId="0" applyNumberFormat="1" applyFont="1" applyFill="1" applyBorder="1" applyAlignment="1">
      <alignment vertical="center"/>
    </xf>
    <xf numFmtId="172" fontId="2" fillId="0" borderId="13" xfId="0" applyNumberFormat="1" applyFont="1" applyFill="1" applyBorder="1" applyAlignment="1" applyProtection="1">
      <alignment horizontal="right" vertical="center"/>
      <protection locked="0"/>
    </xf>
    <xf numFmtId="1" fontId="2" fillId="0" borderId="48" xfId="0" applyNumberFormat="1" applyFont="1" applyFill="1" applyBorder="1" applyAlignment="1">
      <alignment vertical="center"/>
    </xf>
    <xf numFmtId="172" fontId="2" fillId="0" borderId="13" xfId="0" applyNumberFormat="1" applyFont="1" applyFill="1" applyBorder="1" applyAlignment="1">
      <alignment vertical="center"/>
    </xf>
    <xf numFmtId="172" fontId="18" fillId="0" borderId="21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2" fontId="2" fillId="0" borderId="39" xfId="0" applyNumberFormat="1" applyFont="1" applyFill="1" applyBorder="1" applyAlignment="1">
      <alignment vertical="center"/>
    </xf>
    <xf numFmtId="0" fontId="18" fillId="0" borderId="48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2" fontId="18" fillId="0" borderId="39" xfId="0" applyNumberFormat="1" applyFont="1" applyFill="1" applyBorder="1" applyAlignment="1">
      <alignment vertical="center"/>
    </xf>
    <xf numFmtId="175" fontId="18" fillId="0" borderId="46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justify" vertical="center" wrapText="1"/>
      <protection/>
    </xf>
    <xf numFmtId="1" fontId="2" fillId="0" borderId="48" xfId="0" applyNumberFormat="1" applyFont="1" applyFill="1" applyBorder="1" applyAlignment="1" applyProtection="1">
      <alignment horizontal="right" vertical="center"/>
      <protection locked="0"/>
    </xf>
    <xf numFmtId="2" fontId="2" fillId="0" borderId="21" xfId="0" applyNumberFormat="1" applyFont="1" applyFill="1" applyBorder="1" applyAlignment="1">
      <alignment vertical="center"/>
    </xf>
    <xf numFmtId="2" fontId="2" fillId="0" borderId="39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1" fontId="2" fillId="0" borderId="20" xfId="0" applyNumberFormat="1" applyFont="1" applyFill="1" applyBorder="1" applyAlignment="1">
      <alignment vertical="center"/>
    </xf>
    <xf numFmtId="175" fontId="18" fillId="0" borderId="21" xfId="0" applyNumberFormat="1" applyFont="1" applyFill="1" applyBorder="1" applyAlignment="1">
      <alignment vertical="center"/>
    </xf>
    <xf numFmtId="0" fontId="4" fillId="0" borderId="0" xfId="56" applyFont="1" applyAlignment="1">
      <alignment horizontal="center"/>
      <protection/>
    </xf>
    <xf numFmtId="0" fontId="3" fillId="33" borderId="18" xfId="56" applyFont="1" applyFill="1" applyBorder="1" applyAlignment="1">
      <alignment horizontal="center"/>
      <protection/>
    </xf>
    <xf numFmtId="0" fontId="3" fillId="33" borderId="20" xfId="56" applyFont="1" applyFill="1" applyBorder="1" applyAlignment="1">
      <alignment horizontal="center"/>
      <protection/>
    </xf>
    <xf numFmtId="0" fontId="3" fillId="0" borderId="10" xfId="56" applyFont="1" applyBorder="1" applyAlignment="1">
      <alignment horizontal="center"/>
      <protection/>
    </xf>
    <xf numFmtId="0" fontId="27" fillId="0" borderId="0" xfId="56" applyAlignment="1">
      <alignment horizontal="center"/>
      <protection/>
    </xf>
    <xf numFmtId="0" fontId="3" fillId="0" borderId="16" xfId="0" applyFont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vertical="center"/>
    </xf>
    <xf numFmtId="172" fontId="2" fillId="0" borderId="16" xfId="0" applyNumberFormat="1" applyFont="1" applyFill="1" applyBorder="1" applyAlignment="1" applyProtection="1">
      <alignment horizontal="right" vertical="center"/>
      <protection locked="0"/>
    </xf>
    <xf numFmtId="172" fontId="2" fillId="0" borderId="32" xfId="0" applyNumberFormat="1" applyFont="1" applyFill="1" applyBorder="1" applyAlignment="1" applyProtection="1">
      <alignment horizontal="right" vertical="center"/>
      <protection locked="0"/>
    </xf>
    <xf numFmtId="175" fontId="18" fillId="0" borderId="16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3" xfId="0" applyBorder="1" applyAlignment="1">
      <alignment horizontal="center"/>
    </xf>
    <xf numFmtId="0" fontId="95" fillId="0" borderId="17" xfId="0" applyFont="1" applyFill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96" fillId="0" borderId="11" xfId="0" applyFont="1" applyFill="1" applyBorder="1" applyAlignment="1">
      <alignment/>
    </xf>
    <xf numFmtId="0" fontId="2" fillId="0" borderId="4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2" fontId="12" fillId="0" borderId="40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>
      <alignment vertical="center"/>
    </xf>
    <xf numFmtId="172" fontId="12" fillId="0" borderId="85" xfId="0" applyNumberFormat="1" applyFont="1" applyFill="1" applyBorder="1" applyAlignment="1">
      <alignment vertical="center"/>
    </xf>
    <xf numFmtId="0" fontId="12" fillId="0" borderId="86" xfId="0" applyFont="1" applyFill="1" applyBorder="1" applyAlignment="1">
      <alignment vertical="center"/>
    </xf>
    <xf numFmtId="1" fontId="12" fillId="0" borderId="32" xfId="0" applyNumberFormat="1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87" xfId="0" applyFont="1" applyFill="1" applyBorder="1" applyAlignment="1">
      <alignment vertical="center"/>
    </xf>
    <xf numFmtId="1" fontId="12" fillId="0" borderId="88" xfId="0" applyNumberFormat="1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60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5" fontId="18" fillId="0" borderId="32" xfId="0" applyNumberFormat="1" applyFont="1" applyFill="1" applyBorder="1" applyAlignment="1">
      <alignment vertical="center"/>
    </xf>
    <xf numFmtId="0" fontId="97" fillId="0" borderId="0" xfId="0" applyFont="1" applyAlignment="1">
      <alignment/>
    </xf>
    <xf numFmtId="175" fontId="18" fillId="0" borderId="47" xfId="0" applyNumberFormat="1" applyFont="1" applyFill="1" applyBorder="1" applyAlignment="1">
      <alignment horizontal="right" vertical="center"/>
    </xf>
    <xf numFmtId="175" fontId="18" fillId="0" borderId="39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96" fillId="0" borderId="17" xfId="0" applyFont="1" applyFill="1" applyBorder="1" applyAlignment="1">
      <alignment/>
    </xf>
    <xf numFmtId="1" fontId="3" fillId="0" borderId="82" xfId="0" applyNumberFormat="1" applyFont="1" applyFill="1" applyBorder="1" applyAlignment="1" applyProtection="1">
      <alignment horizontal="right" vertical="center"/>
      <protection locked="0"/>
    </xf>
    <xf numFmtId="1" fontId="3" fillId="0" borderId="20" xfId="0" applyNumberFormat="1" applyFont="1" applyFill="1" applyBorder="1" applyAlignment="1" applyProtection="1">
      <alignment horizontal="right" vertical="center"/>
      <protection locked="0"/>
    </xf>
    <xf numFmtId="175" fontId="18" fillId="0" borderId="47" xfId="0" applyNumberFormat="1" applyFont="1" applyFill="1" applyBorder="1" applyAlignment="1">
      <alignment/>
    </xf>
    <xf numFmtId="49" fontId="14" fillId="0" borderId="12" xfId="0" applyNumberFormat="1" applyFont="1" applyFill="1" applyBorder="1" applyAlignment="1">
      <alignment horizontal="right"/>
    </xf>
    <xf numFmtId="0" fontId="98" fillId="0" borderId="11" xfId="0" applyFont="1" applyFill="1" applyBorder="1" applyAlignment="1">
      <alignment/>
    </xf>
    <xf numFmtId="0" fontId="0" fillId="0" borderId="3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2" xfId="0" applyBorder="1" applyAlignment="1">
      <alignment/>
    </xf>
    <xf numFmtId="0" fontId="5" fillId="0" borderId="2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5" fillId="0" borderId="1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2" fontId="0" fillId="0" borderId="32" xfId="0" applyNumberForma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30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14" fillId="33" borderId="14" xfId="0" applyFont="1" applyFill="1" applyBorder="1" applyAlignment="1">
      <alignment vertical="center" wrapText="1"/>
    </xf>
    <xf numFmtId="172" fontId="0" fillId="0" borderId="14" xfId="0" applyNumberFormat="1" applyBorder="1" applyAlignment="1">
      <alignment/>
    </xf>
    <xf numFmtId="191" fontId="99" fillId="0" borderId="20" xfId="0" applyNumberFormat="1" applyFont="1" applyFill="1" applyBorder="1" applyAlignment="1">
      <alignment horizontal="right" vertical="center"/>
    </xf>
    <xf numFmtId="191" fontId="99" fillId="0" borderId="20" xfId="0" applyNumberFormat="1" applyFont="1" applyFill="1" applyBorder="1" applyAlignment="1">
      <alignment horizontal="right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3" fillId="0" borderId="29" xfId="0" applyNumberFormat="1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/>
    </xf>
    <xf numFmtId="172" fontId="3" fillId="0" borderId="0" xfId="0" applyNumberFormat="1" applyFont="1" applyAlignment="1">
      <alignment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23" fillId="33" borderId="19" xfId="0" applyFont="1" applyFill="1" applyBorder="1" applyAlignment="1">
      <alignment horizontal="left" vertical="center" wrapText="1"/>
    </xf>
    <xf numFmtId="0" fontId="23" fillId="7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 horizontal="left"/>
    </xf>
    <xf numFmtId="0" fontId="22" fillId="0" borderId="34" xfId="0" applyFont="1" applyFill="1" applyBorder="1" applyAlignment="1">
      <alignment horizontal="center" vertical="center"/>
    </xf>
    <xf numFmtId="175" fontId="94" fillId="0" borderId="60" xfId="54" applyNumberFormat="1" applyFont="1" applyFill="1" applyBorder="1" applyAlignment="1">
      <alignment horizontal="right" vertical="center"/>
      <protection/>
    </xf>
    <xf numFmtId="175" fontId="94" fillId="0" borderId="77" xfId="54" applyNumberFormat="1" applyFont="1" applyFill="1" applyBorder="1" applyAlignment="1">
      <alignment horizontal="right" vertical="center"/>
      <protection/>
    </xf>
    <xf numFmtId="175" fontId="94" fillId="0" borderId="61" xfId="54" applyNumberFormat="1" applyFont="1" applyFill="1" applyBorder="1" applyAlignment="1">
      <alignment horizontal="right" vertical="center"/>
      <protection/>
    </xf>
    <xf numFmtId="0" fontId="23" fillId="36" borderId="64" xfId="0" applyFont="1" applyFill="1" applyBorder="1" applyAlignment="1">
      <alignment vertical="center"/>
    </xf>
    <xf numFmtId="0" fontId="22" fillId="36" borderId="74" xfId="0" applyFont="1" applyFill="1" applyBorder="1" applyAlignment="1">
      <alignment vertical="center"/>
    </xf>
    <xf numFmtId="0" fontId="22" fillId="36" borderId="12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191" fontId="4" fillId="0" borderId="25" xfId="0" applyNumberFormat="1" applyFont="1" applyFill="1" applyBorder="1" applyAlignment="1">
      <alignment horizontal="right"/>
    </xf>
    <xf numFmtId="191" fontId="2" fillId="0" borderId="17" xfId="0" applyNumberFormat="1" applyFont="1" applyFill="1" applyBorder="1" applyAlignment="1">
      <alignment horizontal="center" vertical="center"/>
    </xf>
    <xf numFmtId="191" fontId="2" fillId="0" borderId="40" xfId="0" applyNumberFormat="1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191" fontId="6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/>
    </xf>
    <xf numFmtId="172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00" fillId="0" borderId="46" xfId="56" applyFont="1" applyFill="1" applyBorder="1" applyAlignment="1">
      <alignment/>
      <protection/>
    </xf>
    <xf numFmtId="1" fontId="100" fillId="0" borderId="19" xfId="56" applyNumberFormat="1" applyFont="1" applyFill="1" applyBorder="1" applyAlignment="1">
      <alignment horizontal="right"/>
      <protection/>
    </xf>
    <xf numFmtId="172" fontId="100" fillId="0" borderId="19" xfId="56" applyNumberFormat="1" applyFont="1" applyFill="1" applyBorder="1" applyAlignment="1">
      <alignment horizontal="right"/>
      <protection/>
    </xf>
    <xf numFmtId="0" fontId="100" fillId="0" borderId="21" xfId="56" applyFont="1" applyFill="1" applyBorder="1" applyAlignment="1">
      <alignment/>
      <protection/>
    </xf>
    <xf numFmtId="1" fontId="100" fillId="0" borderId="13" xfId="56" applyNumberFormat="1" applyFont="1" applyFill="1" applyBorder="1" applyAlignment="1">
      <alignment horizontal="right"/>
      <protection/>
    </xf>
    <xf numFmtId="1" fontId="4" fillId="0" borderId="25" xfId="56" applyNumberFormat="1" applyFont="1" applyBorder="1" applyAlignment="1">
      <alignment horizontal="right"/>
      <protection/>
    </xf>
    <xf numFmtId="2" fontId="4" fillId="0" borderId="25" xfId="56" applyNumberFormat="1" applyFont="1" applyBorder="1" applyAlignment="1">
      <alignment horizontal="right"/>
      <protection/>
    </xf>
    <xf numFmtId="0" fontId="3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1" fontId="4" fillId="0" borderId="0" xfId="56" applyNumberFormat="1" applyFont="1" applyBorder="1" applyAlignment="1">
      <alignment horizontal="center"/>
      <protection/>
    </xf>
    <xf numFmtId="2" fontId="4" fillId="0" borderId="0" xfId="56" applyNumberFormat="1" applyFont="1" applyBorder="1" applyAlignment="1">
      <alignment horizontal="center"/>
      <protection/>
    </xf>
    <xf numFmtId="0" fontId="3" fillId="0" borderId="0" xfId="56" applyFont="1" applyBorder="1">
      <alignment/>
      <protection/>
    </xf>
    <xf numFmtId="0" fontId="9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175" fontId="6" fillId="7" borderId="19" xfId="54" applyNumberFormat="1" applyFont="1" applyFill="1" applyBorder="1" applyAlignment="1">
      <alignment horizontal="right"/>
      <protection/>
    </xf>
    <xf numFmtId="175" fontId="6" fillId="7" borderId="13" xfId="54" applyNumberFormat="1" applyFont="1" applyFill="1" applyBorder="1" applyAlignment="1">
      <alignment horizontal="right"/>
      <protection/>
    </xf>
    <xf numFmtId="175" fontId="6" fillId="0" borderId="13" xfId="54" applyNumberFormat="1" applyFont="1" applyFill="1" applyBorder="1" applyAlignment="1">
      <alignment horizontal="right"/>
      <protection/>
    </xf>
    <xf numFmtId="0" fontId="0" fillId="0" borderId="66" xfId="0" applyBorder="1" applyAlignment="1">
      <alignment horizontal="center"/>
    </xf>
    <xf numFmtId="172" fontId="0" fillId="0" borderId="52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48" xfId="0" applyBorder="1" applyAlignment="1">
      <alignment/>
    </xf>
    <xf numFmtId="0" fontId="0" fillId="0" borderId="66" xfId="0" applyBorder="1" applyAlignment="1">
      <alignment/>
    </xf>
    <xf numFmtId="0" fontId="5" fillId="0" borderId="44" xfId="0" applyFont="1" applyBorder="1" applyAlignment="1">
      <alignment/>
    </xf>
    <xf numFmtId="0" fontId="5" fillId="0" borderId="27" xfId="0" applyFont="1" applyBorder="1" applyAlignment="1">
      <alignment/>
    </xf>
    <xf numFmtId="172" fontId="5" fillId="0" borderId="27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72" fontId="5" fillId="0" borderId="10" xfId="0" applyNumberFormat="1" applyFont="1" applyBorder="1" applyAlignment="1">
      <alignment/>
    </xf>
    <xf numFmtId="0" fontId="6" fillId="0" borderId="81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/>
    </xf>
    <xf numFmtId="1" fontId="12" fillId="0" borderId="16" xfId="0" applyNumberFormat="1" applyFont="1" applyFill="1" applyBorder="1" applyAlignment="1">
      <alignment vertical="center"/>
    </xf>
    <xf numFmtId="0" fontId="12" fillId="0" borderId="89" xfId="0" applyFont="1" applyFill="1" applyBorder="1" applyAlignment="1">
      <alignment vertical="center"/>
    </xf>
    <xf numFmtId="0" fontId="12" fillId="0" borderId="90" xfId="0" applyFont="1" applyFill="1" applyBorder="1" applyAlignment="1">
      <alignment vertical="center"/>
    </xf>
    <xf numFmtId="0" fontId="12" fillId="0" borderId="86" xfId="0" applyFont="1" applyFill="1" applyBorder="1" applyAlignment="1">
      <alignment horizontal="right" vertical="center" wrapText="1"/>
    </xf>
    <xf numFmtId="172" fontId="14" fillId="0" borderId="10" xfId="0" applyNumberFormat="1" applyFont="1" applyFill="1" applyBorder="1" applyAlignment="1">
      <alignment horizontal="right" vertical="center"/>
    </xf>
    <xf numFmtId="172" fontId="14" fillId="0" borderId="91" xfId="0" applyNumberFormat="1" applyFont="1" applyFill="1" applyBorder="1" applyAlignment="1">
      <alignment horizontal="right" vertical="center"/>
    </xf>
    <xf numFmtId="172" fontId="14" fillId="0" borderId="92" xfId="0" applyNumberFormat="1" applyFont="1" applyFill="1" applyBorder="1" applyAlignment="1">
      <alignment horizontal="right" vertical="center"/>
    </xf>
    <xf numFmtId="172" fontId="14" fillId="0" borderId="93" xfId="0" applyNumberFormat="1" applyFont="1" applyFill="1" applyBorder="1" applyAlignment="1">
      <alignment horizontal="right" vertical="center"/>
    </xf>
    <xf numFmtId="172" fontId="14" fillId="0" borderId="30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/>
    </xf>
    <xf numFmtId="172" fontId="12" fillId="0" borderId="94" xfId="0" applyNumberFormat="1" applyFont="1" applyFill="1" applyBorder="1" applyAlignment="1">
      <alignment vertical="center"/>
    </xf>
    <xf numFmtId="1" fontId="12" fillId="0" borderId="86" xfId="0" applyNumberFormat="1" applyFont="1" applyFill="1" applyBorder="1" applyAlignment="1">
      <alignment vertical="center"/>
    </xf>
    <xf numFmtId="1" fontId="12" fillId="0" borderId="86" xfId="0" applyNumberFormat="1" applyFont="1" applyFill="1" applyBorder="1" applyAlignment="1">
      <alignment horizontal="right" vertical="center" wrapText="1"/>
    </xf>
    <xf numFmtId="172" fontId="12" fillId="0" borderId="38" xfId="0" applyNumberFormat="1" applyFont="1" applyFill="1" applyBorder="1" applyAlignment="1">
      <alignment vertical="center"/>
    </xf>
    <xf numFmtId="191" fontId="99" fillId="0" borderId="47" xfId="0" applyNumberFormat="1" applyFont="1" applyFill="1" applyBorder="1" applyAlignment="1">
      <alignment horizontal="right" vertical="center" wrapText="1"/>
    </xf>
    <xf numFmtId="0" fontId="99" fillId="0" borderId="16" xfId="0" applyFont="1" applyFill="1" applyBorder="1" applyAlignment="1">
      <alignment horizontal="center" wrapText="1"/>
    </xf>
    <xf numFmtId="0" fontId="99" fillId="0" borderId="17" xfId="0" applyFont="1" applyFill="1" applyBorder="1" applyAlignment="1">
      <alignment horizontal="left" vertical="center" wrapText="1"/>
    </xf>
    <xf numFmtId="191" fontId="99" fillId="0" borderId="18" xfId="0" applyNumberFormat="1" applyFont="1" applyFill="1" applyBorder="1" applyAlignment="1">
      <alignment horizontal="right" vertical="center" wrapText="1"/>
    </xf>
    <xf numFmtId="191" fontId="99" fillId="0" borderId="18" xfId="0" applyNumberFormat="1" applyFont="1" applyFill="1" applyBorder="1" applyAlignment="1">
      <alignment horizontal="right" vertical="center"/>
    </xf>
    <xf numFmtId="191" fontId="99" fillId="0" borderId="45" xfId="0" applyNumberFormat="1" applyFont="1" applyFill="1" applyBorder="1" applyAlignment="1">
      <alignment horizontal="right" vertical="center" wrapText="1"/>
    </xf>
    <xf numFmtId="2" fontId="99" fillId="0" borderId="18" xfId="0" applyNumberFormat="1" applyFont="1" applyFill="1" applyBorder="1" applyAlignment="1">
      <alignment horizontal="right" vertical="center" wrapText="1"/>
    </xf>
    <xf numFmtId="172" fontId="99" fillId="0" borderId="18" xfId="0" applyNumberFormat="1" applyFont="1" applyFill="1" applyBorder="1" applyAlignment="1">
      <alignment horizontal="right" vertical="center"/>
    </xf>
    <xf numFmtId="172" fontId="99" fillId="0" borderId="17" xfId="0" applyNumberFormat="1" applyFont="1" applyFill="1" applyBorder="1" applyAlignment="1">
      <alignment horizontal="right" vertical="center" wrapText="1"/>
    </xf>
    <xf numFmtId="0" fontId="99" fillId="0" borderId="17" xfId="0" applyNumberFormat="1" applyFont="1" applyFill="1" applyBorder="1" applyAlignment="1" applyProtection="1">
      <alignment vertical="center" wrapText="1"/>
      <protection locked="0"/>
    </xf>
    <xf numFmtId="0" fontId="99" fillId="0" borderId="17" xfId="0" applyFont="1" applyFill="1" applyBorder="1" applyAlignment="1">
      <alignment horizontal="right" vertical="center"/>
    </xf>
    <xf numFmtId="172" fontId="99" fillId="0" borderId="20" xfId="0" applyNumberFormat="1" applyFont="1" applyFill="1" applyBorder="1" applyAlignment="1">
      <alignment horizontal="right" vertical="center"/>
    </xf>
    <xf numFmtId="172" fontId="99" fillId="0" borderId="11" xfId="0" applyNumberFormat="1" applyFont="1" applyFill="1" applyBorder="1" applyAlignment="1">
      <alignment horizontal="right" vertical="center"/>
    </xf>
    <xf numFmtId="0" fontId="99" fillId="0" borderId="11" xfId="0" applyNumberFormat="1" applyFont="1" applyFill="1" applyBorder="1" applyAlignment="1" applyProtection="1">
      <alignment vertical="center" wrapText="1"/>
      <protection locked="0"/>
    </xf>
    <xf numFmtId="0" fontId="99" fillId="0" borderId="11" xfId="0" applyFont="1" applyFill="1" applyBorder="1" applyAlignment="1">
      <alignment horizontal="left" vertical="center"/>
    </xf>
    <xf numFmtId="2" fontId="99" fillId="0" borderId="20" xfId="0" applyNumberFormat="1" applyFont="1" applyFill="1" applyBorder="1" applyAlignment="1">
      <alignment horizontal="right" vertical="center"/>
    </xf>
    <xf numFmtId="49" fontId="99" fillId="0" borderId="11" xfId="0" applyNumberFormat="1" applyFont="1" applyFill="1" applyBorder="1" applyAlignment="1">
      <alignment horizontal="right" vertical="center" wrapText="1"/>
    </xf>
    <xf numFmtId="0" fontId="99" fillId="0" borderId="11" xfId="0" applyFont="1" applyFill="1" applyBorder="1" applyAlignment="1">
      <alignment horizontal="right"/>
    </xf>
    <xf numFmtId="0" fontId="99" fillId="0" borderId="11" xfId="0" applyNumberFormat="1" applyFont="1" applyFill="1" applyBorder="1" applyAlignment="1" applyProtection="1">
      <alignment horizontal="justify" vertical="center" wrapText="1"/>
      <protection/>
    </xf>
    <xf numFmtId="0" fontId="99" fillId="0" borderId="11" xfId="0" applyFont="1" applyFill="1" applyBorder="1" applyAlignment="1">
      <alignment horizontal="left" vertical="center" wrapText="1"/>
    </xf>
    <xf numFmtId="172" fontId="99" fillId="0" borderId="17" xfId="0" applyNumberFormat="1" applyFont="1" applyFill="1" applyBorder="1" applyAlignment="1">
      <alignment horizontal="right" vertical="center"/>
    </xf>
    <xf numFmtId="49" fontId="99" fillId="0" borderId="11" xfId="0" applyNumberFormat="1" applyFont="1" applyFill="1" applyBorder="1" applyAlignment="1">
      <alignment horizontal="right" vertical="center"/>
    </xf>
    <xf numFmtId="0" fontId="98" fillId="0" borderId="0" xfId="0" applyFont="1" applyFill="1" applyAlignment="1">
      <alignment/>
    </xf>
    <xf numFmtId="172" fontId="99" fillId="0" borderId="11" xfId="0" applyNumberFormat="1" applyFont="1" applyFill="1" applyBorder="1" applyAlignment="1">
      <alignment horizontal="right" vertical="center" wrapText="1"/>
    </xf>
    <xf numFmtId="0" fontId="99" fillId="0" borderId="11" xfId="0" applyFont="1" applyFill="1" applyBorder="1" applyAlignment="1">
      <alignment vertical="center" wrapText="1"/>
    </xf>
    <xf numFmtId="0" fontId="99" fillId="0" borderId="20" xfId="0" applyNumberFormat="1" applyFont="1" applyFill="1" applyBorder="1" applyAlignment="1" applyProtection="1">
      <alignment vertical="center" wrapText="1"/>
      <protection locked="0"/>
    </xf>
    <xf numFmtId="0" fontId="99" fillId="0" borderId="11" xfId="0" applyFont="1" applyFill="1" applyBorder="1" applyAlignment="1">
      <alignment horizontal="right" vertical="center"/>
    </xf>
    <xf numFmtId="0" fontId="99" fillId="0" borderId="1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right" vertical="center"/>
    </xf>
    <xf numFmtId="172" fontId="101" fillId="0" borderId="0" xfId="0" applyNumberFormat="1" applyFont="1" applyFill="1" applyBorder="1" applyAlignment="1">
      <alignment horizontal="right" vertical="center"/>
    </xf>
    <xf numFmtId="0" fontId="101" fillId="0" borderId="0" xfId="0" applyFont="1" applyFill="1" applyAlignment="1">
      <alignment horizontal="center"/>
    </xf>
    <xf numFmtId="0" fontId="102" fillId="0" borderId="0" xfId="0" applyFont="1" applyFill="1" applyAlignment="1">
      <alignment horizontal="left" vertical="center"/>
    </xf>
    <xf numFmtId="0" fontId="102" fillId="0" borderId="0" xfId="0" applyFont="1" applyFill="1" applyAlignment="1">
      <alignment horizontal="right" vertical="center"/>
    </xf>
    <xf numFmtId="2" fontId="102" fillId="0" borderId="0" xfId="0" applyNumberFormat="1" applyFont="1" applyFill="1" applyAlignment="1">
      <alignment horizontal="center" vertical="center"/>
    </xf>
    <xf numFmtId="172" fontId="102" fillId="0" borderId="0" xfId="0" applyNumberFormat="1" applyFont="1" applyFill="1" applyAlignment="1">
      <alignment horizontal="center" vertical="center"/>
    </xf>
    <xf numFmtId="0" fontId="101" fillId="0" borderId="0" xfId="0" applyFont="1" applyFill="1" applyAlignment="1">
      <alignment horizontal="right" vertical="center"/>
    </xf>
    <xf numFmtId="0" fontId="103" fillId="0" borderId="11" xfId="0" applyFont="1" applyFill="1" applyBorder="1" applyAlignment="1">
      <alignment horizontal="right"/>
    </xf>
    <xf numFmtId="0" fontId="34" fillId="33" borderId="19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center"/>
    </xf>
    <xf numFmtId="0" fontId="99" fillId="0" borderId="0" xfId="0" applyFont="1" applyFill="1" applyAlignment="1">
      <alignment/>
    </xf>
    <xf numFmtId="0" fontId="2" fillId="0" borderId="18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2" fontId="9" fillId="0" borderId="82" xfId="0" applyNumberFormat="1" applyFont="1" applyFill="1" applyBorder="1" applyAlignment="1">
      <alignment horizontal="right" vertical="center"/>
    </xf>
    <xf numFmtId="172" fontId="9" fillId="0" borderId="18" xfId="0" applyNumberFormat="1" applyFont="1" applyFill="1" applyBorder="1" applyAlignment="1">
      <alignment horizontal="right" vertical="center"/>
    </xf>
    <xf numFmtId="172" fontId="9" fillId="0" borderId="38" xfId="0" applyNumberFormat="1" applyFont="1" applyFill="1" applyBorder="1" applyAlignment="1">
      <alignment horizontal="right" vertical="center" wrapText="1"/>
    </xf>
    <xf numFmtId="172" fontId="9" fillId="0" borderId="82" xfId="0" applyNumberFormat="1" applyFont="1" applyFill="1" applyBorder="1" applyAlignment="1">
      <alignment horizontal="right" vertical="center"/>
    </xf>
    <xf numFmtId="173" fontId="9" fillId="0" borderId="18" xfId="0" applyNumberFormat="1" applyFont="1" applyFill="1" applyBorder="1" applyAlignment="1">
      <alignment horizontal="right" vertical="center"/>
    </xf>
    <xf numFmtId="2" fontId="9" fillId="0" borderId="38" xfId="0" applyNumberFormat="1" applyFont="1" applyFill="1" applyBorder="1" applyAlignment="1">
      <alignment horizontal="right" vertical="center"/>
    </xf>
    <xf numFmtId="0" fontId="9" fillId="0" borderId="68" xfId="0" applyFont="1" applyFill="1" applyBorder="1" applyAlignment="1">
      <alignment horizontal="left" vertical="center" wrapText="1"/>
    </xf>
    <xf numFmtId="2" fontId="7" fillId="0" borderId="27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 horizontal="right" vertical="center"/>
    </xf>
    <xf numFmtId="172" fontId="7" fillId="0" borderId="30" xfId="0" applyNumberFormat="1" applyFont="1" applyFill="1" applyBorder="1" applyAlignment="1">
      <alignment horizontal="right" vertical="center" wrapText="1"/>
    </xf>
    <xf numFmtId="172" fontId="7" fillId="0" borderId="22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 wrapText="1"/>
    </xf>
    <xf numFmtId="172" fontId="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22" xfId="0" applyFont="1" applyFill="1" applyBorder="1" applyAlignment="1">
      <alignment horizontal="right"/>
    </xf>
    <xf numFmtId="172" fontId="7" fillId="0" borderId="14" xfId="0" applyNumberFormat="1" applyFont="1" applyFill="1" applyBorder="1" applyAlignment="1">
      <alignment horizontal="right" vertical="center"/>
    </xf>
    <xf numFmtId="191" fontId="99" fillId="0" borderId="46" xfId="0" applyNumberFormat="1" applyFont="1" applyFill="1" applyBorder="1" applyAlignment="1">
      <alignment horizontal="right" vertical="center" wrapText="1"/>
    </xf>
    <xf numFmtId="0" fontId="99" fillId="0" borderId="0" xfId="0" applyFont="1" applyFill="1" applyAlignment="1">
      <alignment horizontal="center"/>
    </xf>
    <xf numFmtId="191" fontId="99" fillId="0" borderId="20" xfId="0" applyNumberFormat="1" applyFont="1" applyFill="1" applyBorder="1" applyAlignment="1">
      <alignment horizontal="left" vertical="center" wrapText="1"/>
    </xf>
    <xf numFmtId="191" fontId="99" fillId="0" borderId="20" xfId="0" applyNumberFormat="1" applyFont="1" applyFill="1" applyBorder="1" applyAlignment="1">
      <alignment vertical="center"/>
    </xf>
    <xf numFmtId="0" fontId="96" fillId="0" borderId="32" xfId="0" applyFont="1" applyFill="1" applyBorder="1" applyAlignment="1">
      <alignment/>
    </xf>
    <xf numFmtId="0" fontId="104" fillId="0" borderId="17" xfId="0" applyFont="1" applyFill="1" applyBorder="1" applyAlignment="1">
      <alignment/>
    </xf>
    <xf numFmtId="172" fontId="0" fillId="0" borderId="15" xfId="0" applyNumberFormat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justify" vertical="center" wrapText="1"/>
      <protection/>
    </xf>
    <xf numFmtId="175" fontId="18" fillId="0" borderId="13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/>
    </xf>
    <xf numFmtId="0" fontId="94" fillId="0" borderId="95" xfId="0" applyFont="1" applyFill="1" applyBorder="1" applyAlignment="1">
      <alignment horizontal="center" vertical="center"/>
    </xf>
    <xf numFmtId="0" fontId="98" fillId="0" borderId="16" xfId="0" applyFont="1" applyFill="1" applyBorder="1" applyAlignment="1">
      <alignment horizontal="center" vertical="center"/>
    </xf>
    <xf numFmtId="0" fontId="98" fillId="0" borderId="48" xfId="0" applyFont="1" applyFill="1" applyBorder="1" applyAlignment="1">
      <alignment vertical="center"/>
    </xf>
    <xf numFmtId="0" fontId="98" fillId="0" borderId="11" xfId="0" applyFont="1" applyFill="1" applyBorder="1" applyAlignment="1">
      <alignment vertical="center"/>
    </xf>
    <xf numFmtId="0" fontId="0" fillId="37" borderId="20" xfId="0" applyFill="1" applyBorder="1" applyAlignment="1">
      <alignment/>
    </xf>
    <xf numFmtId="0" fontId="0" fillId="37" borderId="77" xfId="0" applyFill="1" applyBorder="1" applyAlignment="1">
      <alignment horizontal="center"/>
    </xf>
    <xf numFmtId="0" fontId="0" fillId="37" borderId="61" xfId="0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54" xfId="0" applyBorder="1" applyAlignment="1">
      <alignment horizontal="center"/>
    </xf>
    <xf numFmtId="0" fontId="98" fillId="0" borderId="2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48" xfId="0" applyFont="1" applyBorder="1" applyAlignment="1">
      <alignment/>
    </xf>
    <xf numFmtId="0" fontId="10" fillId="0" borderId="11" xfId="0" applyFont="1" applyFill="1" applyBorder="1" applyAlignment="1">
      <alignment horizontal="right" wrapText="1"/>
    </xf>
    <xf numFmtId="0" fontId="10" fillId="0" borderId="3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0" fontId="0" fillId="0" borderId="69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191" fontId="99" fillId="0" borderId="3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84" xfId="0" applyFont="1" applyFill="1" applyBorder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right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4" xfId="0" applyFont="1" applyFill="1" applyBorder="1" applyAlignment="1">
      <alignment horizontal="center" vertical="center" wrapText="1"/>
    </xf>
    <xf numFmtId="191" fontId="102" fillId="0" borderId="22" xfId="0" applyNumberFormat="1" applyFont="1" applyFill="1" applyBorder="1" applyAlignment="1">
      <alignment horizontal="right" vertical="center" wrapText="1"/>
    </xf>
    <xf numFmtId="191" fontId="102" fillId="0" borderId="12" xfId="0" applyNumberFormat="1" applyFont="1" applyFill="1" applyBorder="1" applyAlignment="1">
      <alignment horizontal="right" vertical="center" wrapText="1"/>
    </xf>
    <xf numFmtId="191" fontId="105" fillId="0" borderId="44" xfId="0" applyNumberFormat="1" applyFont="1" applyFill="1" applyBorder="1" applyAlignment="1">
      <alignment horizontal="right" vertical="center" wrapText="1"/>
    </xf>
    <xf numFmtId="191" fontId="105" fillId="0" borderId="26" xfId="0" applyNumberFormat="1" applyFont="1" applyFill="1" applyBorder="1" applyAlignment="1">
      <alignment horizontal="right" vertical="center" wrapText="1"/>
    </xf>
    <xf numFmtId="191" fontId="105" fillId="0" borderId="12" xfId="0" applyNumberFormat="1" applyFont="1" applyFill="1" applyBorder="1" applyAlignment="1">
      <alignment horizontal="right" vertical="center" wrapText="1"/>
    </xf>
    <xf numFmtId="0" fontId="105" fillId="0" borderId="22" xfId="0" applyFont="1" applyFill="1" applyBorder="1" applyAlignment="1">
      <alignment horizontal="center" vertical="center" wrapText="1"/>
    </xf>
    <xf numFmtId="0" fontId="105" fillId="0" borderId="44" xfId="0" applyFont="1" applyFill="1" applyBorder="1" applyAlignment="1">
      <alignment horizontal="center" vertical="center" wrapText="1"/>
    </xf>
    <xf numFmtId="0" fontId="102" fillId="0" borderId="14" xfId="0" applyFont="1" applyFill="1" applyBorder="1" applyAlignment="1">
      <alignment horizontal="center" vertical="center"/>
    </xf>
    <xf numFmtId="172" fontId="99" fillId="0" borderId="46" xfId="0" applyNumberFormat="1" applyFont="1" applyFill="1" applyBorder="1" applyAlignment="1">
      <alignment horizontal="right" vertical="center" wrapText="1"/>
    </xf>
    <xf numFmtId="172" fontId="99" fillId="0" borderId="47" xfId="0" applyNumberFormat="1" applyFont="1" applyFill="1" applyBorder="1" applyAlignment="1">
      <alignment horizontal="right" vertical="center"/>
    </xf>
    <xf numFmtId="172" fontId="99" fillId="0" borderId="39" xfId="0" applyNumberFormat="1" applyFont="1" applyFill="1" applyBorder="1" applyAlignment="1">
      <alignment horizontal="right" vertical="center"/>
    </xf>
    <xf numFmtId="0" fontId="99" fillId="0" borderId="39" xfId="0" applyFont="1" applyFill="1" applyBorder="1" applyAlignment="1">
      <alignment horizontal="right" vertical="center" wrapText="1"/>
    </xf>
    <xf numFmtId="0" fontId="99" fillId="0" borderId="20" xfId="0" applyFont="1" applyFill="1" applyBorder="1" applyAlignment="1">
      <alignment horizontal="right" vertical="center" wrapText="1"/>
    </xf>
    <xf numFmtId="0" fontId="99" fillId="0" borderId="14" xfId="0" applyFont="1" applyFill="1" applyBorder="1" applyAlignment="1">
      <alignment horizontal="left" vertical="center"/>
    </xf>
    <xf numFmtId="191" fontId="99" fillId="0" borderId="12" xfId="0" applyNumberFormat="1" applyFont="1" applyFill="1" applyBorder="1" applyAlignment="1">
      <alignment horizontal="right" vertical="center" wrapText="1"/>
    </xf>
    <xf numFmtId="172" fontId="99" fillId="0" borderId="12" xfId="0" applyNumberFormat="1" applyFont="1" applyFill="1" applyBorder="1" applyAlignment="1">
      <alignment horizontal="right" vertical="center"/>
    </xf>
    <xf numFmtId="172" fontId="99" fillId="0" borderId="37" xfId="0" applyNumberFormat="1" applyFont="1" applyFill="1" applyBorder="1" applyAlignment="1">
      <alignment horizontal="right" vertical="center"/>
    </xf>
    <xf numFmtId="2" fontId="106" fillId="0" borderId="0" xfId="0" applyNumberFormat="1" applyFont="1" applyFill="1" applyBorder="1" applyAlignment="1">
      <alignment horizontal="right" vertical="center"/>
    </xf>
    <xf numFmtId="2" fontId="106" fillId="0" borderId="0" xfId="0" applyNumberFormat="1" applyFont="1" applyFill="1" applyBorder="1" applyAlignment="1">
      <alignment horizontal="left" vertical="center"/>
    </xf>
    <xf numFmtId="175" fontId="18" fillId="0" borderId="39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175" fontId="99" fillId="0" borderId="32" xfId="0" applyNumberFormat="1" applyFont="1" applyFill="1" applyBorder="1" applyAlignment="1">
      <alignment vertical="center"/>
    </xf>
    <xf numFmtId="175" fontId="99" fillId="0" borderId="17" xfId="0" applyNumberFormat="1" applyFont="1" applyFill="1" applyBorder="1" applyAlignment="1">
      <alignment vertical="center"/>
    </xf>
    <xf numFmtId="175" fontId="99" fillId="0" borderId="39" xfId="0" applyNumberFormat="1" applyFont="1" applyFill="1" applyBorder="1" applyAlignment="1">
      <alignment horizontal="right" vertical="center"/>
    </xf>
    <xf numFmtId="172" fontId="99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81" xfId="0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right" vertical="center"/>
    </xf>
    <xf numFmtId="172" fontId="9" fillId="0" borderId="38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172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97" fillId="0" borderId="82" xfId="0" applyFont="1" applyBorder="1" applyAlignment="1">
      <alignment/>
    </xf>
    <xf numFmtId="0" fontId="97" fillId="0" borderId="32" xfId="0" applyFont="1" applyBorder="1" applyAlignment="1">
      <alignment/>
    </xf>
    <xf numFmtId="172" fontId="97" fillId="0" borderId="32" xfId="0" applyNumberFormat="1" applyFont="1" applyBorder="1" applyAlignment="1">
      <alignment/>
    </xf>
    <xf numFmtId="0" fontId="107" fillId="0" borderId="11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11" xfId="0" applyFont="1" applyBorder="1" applyAlignment="1">
      <alignment/>
    </xf>
    <xf numFmtId="0" fontId="97" fillId="0" borderId="48" xfId="0" applyFont="1" applyBorder="1" applyAlignment="1">
      <alignment/>
    </xf>
    <xf numFmtId="0" fontId="0" fillId="8" borderId="0" xfId="0" applyFill="1" applyAlignment="1">
      <alignment horizontal="center"/>
    </xf>
    <xf numFmtId="0" fontId="22" fillId="0" borderId="25" xfId="0" applyFont="1" applyBorder="1" applyAlignment="1">
      <alignment horizontal="center" vertical="center"/>
    </xf>
    <xf numFmtId="175" fontId="23" fillId="0" borderId="39" xfId="0" applyNumberFormat="1" applyFont="1" applyFill="1" applyBorder="1" applyAlignment="1">
      <alignment horizontal="right" vertical="center"/>
    </xf>
    <xf numFmtId="0" fontId="23" fillId="33" borderId="22" xfId="0" applyFont="1" applyFill="1" applyBorder="1" applyAlignment="1">
      <alignment vertical="center"/>
    </xf>
    <xf numFmtId="0" fontId="22" fillId="33" borderId="25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75" fontId="94" fillId="0" borderId="22" xfId="54" applyNumberFormat="1" applyFont="1" applyFill="1" applyBorder="1" applyAlignment="1">
      <alignment horizontal="right" vertical="center"/>
      <protection/>
    </xf>
    <xf numFmtId="175" fontId="94" fillId="0" borderId="25" xfId="54" applyNumberFormat="1" applyFont="1" applyFill="1" applyBorder="1" applyAlignment="1">
      <alignment horizontal="right" vertical="center"/>
      <protection/>
    </xf>
    <xf numFmtId="175" fontId="94" fillId="0" borderId="12" xfId="54" applyNumberFormat="1" applyFont="1" applyFill="1" applyBorder="1" applyAlignment="1">
      <alignment horizontal="right" vertical="center"/>
      <protection/>
    </xf>
    <xf numFmtId="0" fontId="22" fillId="33" borderId="35" xfId="0" applyFont="1" applyFill="1" applyBorder="1" applyAlignment="1">
      <alignment vertical="center"/>
    </xf>
    <xf numFmtId="175" fontId="94" fillId="0" borderId="36" xfId="54" applyNumberFormat="1" applyFont="1" applyFill="1" applyBorder="1" applyAlignment="1">
      <alignment horizontal="right" vertical="center"/>
      <protection/>
    </xf>
    <xf numFmtId="175" fontId="94" fillId="0" borderId="75" xfId="54" applyNumberFormat="1" applyFont="1" applyFill="1" applyBorder="1" applyAlignment="1">
      <alignment horizontal="right" vertical="center"/>
      <protection/>
    </xf>
    <xf numFmtId="175" fontId="94" fillId="0" borderId="35" xfId="54" applyNumberFormat="1" applyFont="1" applyFill="1" applyBorder="1" applyAlignment="1">
      <alignment horizontal="right" vertical="center"/>
      <protection/>
    </xf>
    <xf numFmtId="0" fontId="22" fillId="36" borderId="75" xfId="0" applyFont="1" applyFill="1" applyBorder="1" applyAlignment="1">
      <alignment horizontal="center" vertical="center"/>
    </xf>
    <xf numFmtId="175" fontId="23" fillId="36" borderId="35" xfId="0" applyNumberFormat="1" applyFont="1" applyFill="1" applyBorder="1" applyAlignment="1">
      <alignment horizontal="right" vertical="center"/>
    </xf>
    <xf numFmtId="0" fontId="23" fillId="36" borderId="22" xfId="0" applyFont="1" applyFill="1" applyBorder="1" applyAlignment="1">
      <alignment vertical="center"/>
    </xf>
    <xf numFmtId="0" fontId="22" fillId="36" borderId="25" xfId="0" applyFont="1" applyFill="1" applyBorder="1" applyAlignment="1">
      <alignment vertical="center"/>
    </xf>
    <xf numFmtId="0" fontId="22" fillId="36" borderId="35" xfId="0" applyFont="1" applyFill="1" applyBorder="1" applyAlignment="1">
      <alignment vertical="center"/>
    </xf>
    <xf numFmtId="175" fontId="94" fillId="36" borderId="36" xfId="54" applyNumberFormat="1" applyFont="1" applyFill="1" applyBorder="1" applyAlignment="1">
      <alignment horizontal="right" vertical="center"/>
      <protection/>
    </xf>
    <xf numFmtId="175" fontId="94" fillId="36" borderId="75" xfId="54" applyNumberFormat="1" applyFont="1" applyFill="1" applyBorder="1" applyAlignment="1">
      <alignment horizontal="right" vertical="center"/>
      <protection/>
    </xf>
    <xf numFmtId="175" fontId="94" fillId="36" borderId="35" xfId="54" applyNumberFormat="1" applyFont="1" applyFill="1" applyBorder="1" applyAlignment="1">
      <alignment horizontal="right" vertical="center"/>
      <protection/>
    </xf>
    <xf numFmtId="0" fontId="23" fillId="36" borderId="36" xfId="0" applyFont="1" applyFill="1" applyBorder="1" applyAlignment="1">
      <alignment vertical="center"/>
    </xf>
    <xf numFmtId="0" fontId="22" fillId="36" borderId="75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left" vertical="center"/>
    </xf>
    <xf numFmtId="0" fontId="2" fillId="33" borderId="9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16" fontId="2" fillId="33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5" fillId="7" borderId="17" xfId="0" applyFont="1" applyFill="1" applyBorder="1" applyAlignment="1">
      <alignment horizontal="right"/>
    </xf>
    <xf numFmtId="0" fontId="96" fillId="37" borderId="17" xfId="0" applyFont="1" applyFill="1" applyBorder="1" applyAlignment="1">
      <alignment/>
    </xf>
    <xf numFmtId="0" fontId="103" fillId="7" borderId="11" xfId="0" applyFont="1" applyFill="1" applyBorder="1" applyAlignment="1">
      <alignment horizontal="right"/>
    </xf>
    <xf numFmtId="0" fontId="96" fillId="7" borderId="11" xfId="0" applyFont="1" applyFill="1" applyBorder="1" applyAlignment="1">
      <alignment/>
    </xf>
    <xf numFmtId="0" fontId="95" fillId="7" borderId="11" xfId="0" applyFont="1" applyFill="1" applyBorder="1" applyAlignment="1">
      <alignment horizontal="right"/>
    </xf>
    <xf numFmtId="0" fontId="104" fillId="7" borderId="11" xfId="0" applyFont="1" applyFill="1" applyBorder="1" applyAlignment="1">
      <alignment/>
    </xf>
    <xf numFmtId="0" fontId="12" fillId="0" borderId="36" xfId="0" applyFont="1" applyFill="1" applyBorder="1" applyAlignment="1">
      <alignment horizontal="center" vertical="center" wrapText="1"/>
    </xf>
    <xf numFmtId="172" fontId="99" fillId="0" borderId="18" xfId="0" applyNumberFormat="1" applyFont="1" applyFill="1" applyBorder="1" applyAlignment="1">
      <alignment horizontal="right" vertical="center" wrapText="1"/>
    </xf>
    <xf numFmtId="191" fontId="99" fillId="0" borderId="38" xfId="0" applyNumberFormat="1" applyFont="1" applyFill="1" applyBorder="1" applyAlignment="1">
      <alignment horizontal="right" vertical="center" wrapText="1"/>
    </xf>
    <xf numFmtId="191" fontId="99" fillId="0" borderId="30" xfId="0" applyNumberFormat="1" applyFont="1" applyFill="1" applyBorder="1" applyAlignment="1">
      <alignment horizontal="right" vertical="center" wrapText="1"/>
    </xf>
    <xf numFmtId="191" fontId="99" fillId="0" borderId="53" xfId="0" applyNumberFormat="1" applyFont="1" applyFill="1" applyBorder="1" applyAlignment="1">
      <alignment horizontal="right" vertical="center" wrapText="1"/>
    </xf>
    <xf numFmtId="191" fontId="99" fillId="0" borderId="67" xfId="0" applyNumberFormat="1" applyFont="1" applyFill="1" applyBorder="1" applyAlignment="1">
      <alignment horizontal="right" vertical="center" wrapText="1"/>
    </xf>
    <xf numFmtId="191" fontId="99" fillId="0" borderId="14" xfId="0" applyNumberFormat="1" applyFont="1" applyFill="1" applyBorder="1" applyAlignment="1">
      <alignment horizontal="right" vertical="center" wrapText="1"/>
    </xf>
    <xf numFmtId="191" fontId="2" fillId="0" borderId="38" xfId="0" applyNumberFormat="1" applyFont="1" applyFill="1" applyBorder="1" applyAlignment="1">
      <alignment horizontal="right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99" fillId="0" borderId="66" xfId="0" applyFont="1" applyFill="1" applyBorder="1" applyAlignment="1">
      <alignment vertical="center" wrapText="1"/>
    </xf>
    <xf numFmtId="0" fontId="99" fillId="0" borderId="38" xfId="0" applyFont="1" applyFill="1" applyBorder="1" applyAlignment="1">
      <alignment vertical="center"/>
    </xf>
    <xf numFmtId="2" fontId="99" fillId="0" borderId="70" xfId="0" applyNumberFormat="1" applyFont="1" applyFill="1" applyBorder="1" applyAlignment="1">
      <alignment vertical="center"/>
    </xf>
    <xf numFmtId="172" fontId="99" fillId="0" borderId="39" xfId="0" applyNumberFormat="1" applyFont="1" applyFill="1" applyBorder="1" applyAlignment="1">
      <alignment horizontal="right" vertical="center" wrapText="1"/>
    </xf>
    <xf numFmtId="0" fontId="99" fillId="0" borderId="66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vertical="center" wrapText="1"/>
    </xf>
    <xf numFmtId="2" fontId="99" fillId="0" borderId="31" xfId="0" applyNumberFormat="1" applyFont="1" applyFill="1" applyBorder="1" applyAlignment="1">
      <alignment vertical="center"/>
    </xf>
    <xf numFmtId="0" fontId="99" fillId="0" borderId="17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vertical="center"/>
    </xf>
    <xf numFmtId="2" fontId="99" fillId="0" borderId="82" xfId="0" applyNumberFormat="1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94" fillId="0" borderId="22" xfId="0" applyNumberFormat="1" applyFont="1" applyFill="1" applyBorder="1" applyAlignment="1">
      <alignment vertical="center"/>
    </xf>
    <xf numFmtId="172" fontId="94" fillId="0" borderId="10" xfId="0" applyNumberFormat="1" applyFont="1" applyFill="1" applyBorder="1" applyAlignment="1">
      <alignment vertical="center"/>
    </xf>
    <xf numFmtId="172" fontId="94" fillId="0" borderId="14" xfId="0" applyNumberFormat="1" applyFont="1" applyFill="1" applyBorder="1" applyAlignment="1">
      <alignment vertical="center"/>
    </xf>
    <xf numFmtId="0" fontId="94" fillId="0" borderId="22" xfId="0" applyFont="1" applyFill="1" applyBorder="1" applyAlignment="1">
      <alignment horizontal="left" vertical="center"/>
    </xf>
    <xf numFmtId="0" fontId="94" fillId="0" borderId="12" xfId="0" applyFont="1" applyFill="1" applyBorder="1" applyAlignment="1">
      <alignment horizontal="left" vertical="center"/>
    </xf>
    <xf numFmtId="172" fontId="94" fillId="0" borderId="12" xfId="0" applyNumberFormat="1" applyFont="1" applyFill="1" applyBorder="1" applyAlignment="1">
      <alignment vertical="center"/>
    </xf>
    <xf numFmtId="172" fontId="94" fillId="0" borderId="44" xfId="0" applyNumberFormat="1" applyFont="1" applyFill="1" applyBorder="1" applyAlignment="1">
      <alignment vertical="center"/>
    </xf>
    <xf numFmtId="172" fontId="94" fillId="0" borderId="27" xfId="0" applyNumberFormat="1" applyFont="1" applyFill="1" applyBorder="1" applyAlignment="1">
      <alignment vertical="center"/>
    </xf>
    <xf numFmtId="0" fontId="99" fillId="0" borderId="14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99" fillId="0" borderId="82" xfId="0" applyFont="1" applyFill="1" applyBorder="1" applyAlignment="1">
      <alignment vertical="center"/>
    </xf>
    <xf numFmtId="2" fontId="99" fillId="0" borderId="66" xfId="0" applyNumberFormat="1" applyFont="1" applyFill="1" applyBorder="1" applyAlignment="1">
      <alignment vertical="center"/>
    </xf>
    <xf numFmtId="172" fontId="99" fillId="0" borderId="53" xfId="0" applyNumberFormat="1" applyFont="1" applyFill="1" applyBorder="1" applyAlignment="1">
      <alignment horizontal="right" vertical="center"/>
    </xf>
    <xf numFmtId="172" fontId="99" fillId="0" borderId="54" xfId="0" applyNumberFormat="1" applyFont="1" applyFill="1" applyBorder="1" applyAlignment="1">
      <alignment horizontal="right" vertical="center"/>
    </xf>
    <xf numFmtId="172" fontId="99" fillId="0" borderId="45" xfId="0" applyNumberFormat="1" applyFont="1" applyFill="1" applyBorder="1" applyAlignment="1">
      <alignment horizontal="right" vertical="center"/>
    </xf>
    <xf numFmtId="172" fontId="99" fillId="0" borderId="46" xfId="0" applyNumberFormat="1" applyFont="1" applyFill="1" applyBorder="1" applyAlignment="1">
      <alignment horizontal="right" vertical="center"/>
    </xf>
    <xf numFmtId="49" fontId="2" fillId="0" borderId="32" xfId="0" applyNumberFormat="1" applyFont="1" applyFill="1" applyBorder="1" applyAlignment="1">
      <alignment horizontal="center" vertical="center"/>
    </xf>
    <xf numFmtId="2" fontId="99" fillId="0" borderId="11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26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2" fillId="0" borderId="30" xfId="0" applyFont="1" applyFill="1" applyBorder="1" applyAlignment="1">
      <alignment/>
    </xf>
    <xf numFmtId="2" fontId="94" fillId="0" borderId="2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72" fontId="9" fillId="0" borderId="17" xfId="0" applyNumberFormat="1" applyFont="1" applyFill="1" applyBorder="1" applyAlignment="1">
      <alignment horizontal="right" vertical="center" wrapText="1"/>
    </xf>
    <xf numFmtId="172" fontId="9" fillId="0" borderId="11" xfId="0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right"/>
    </xf>
    <xf numFmtId="2" fontId="9" fillId="0" borderId="17" xfId="0" applyNumberFormat="1" applyFont="1" applyFill="1" applyBorder="1" applyAlignment="1">
      <alignment horizontal="right" vertical="center" wrapText="1"/>
    </xf>
    <xf numFmtId="1" fontId="9" fillId="0" borderId="17" xfId="0" applyNumberFormat="1" applyFont="1" applyFill="1" applyBorder="1" applyAlignment="1">
      <alignment horizontal="right" vertical="center" wrapText="1"/>
    </xf>
    <xf numFmtId="2" fontId="9" fillId="0" borderId="11" xfId="0" applyNumberFormat="1" applyFont="1" applyFill="1" applyBorder="1" applyAlignment="1">
      <alignment horizontal="right" vertical="center" wrapText="1"/>
    </xf>
    <xf numFmtId="172" fontId="102" fillId="0" borderId="11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left" vertical="center" wrapText="1"/>
    </xf>
    <xf numFmtId="2" fontId="9" fillId="0" borderId="16" xfId="53" applyNumberFormat="1" applyFont="1" applyFill="1" applyBorder="1" applyAlignment="1">
      <alignment horizontal="right" vertical="center" wrapText="1"/>
      <protection/>
    </xf>
    <xf numFmtId="172" fontId="9" fillId="0" borderId="11" xfId="0" applyNumberFormat="1" applyFont="1" applyFill="1" applyBorder="1" applyAlignment="1">
      <alignment horizontal="left" vertical="center" wrapText="1"/>
    </xf>
    <xf numFmtId="2" fontId="9" fillId="0" borderId="32" xfId="0" applyNumberFormat="1" applyFont="1" applyFill="1" applyBorder="1" applyAlignment="1">
      <alignment horizontal="right" vertical="center" wrapText="1"/>
    </xf>
    <xf numFmtId="172" fontId="9" fillId="0" borderId="17" xfId="0" applyNumberFormat="1" applyFont="1" applyFill="1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right" vertical="center" wrapText="1"/>
    </xf>
    <xf numFmtId="2" fontId="9" fillId="0" borderId="32" xfId="53" applyNumberFormat="1" applyFont="1" applyFill="1" applyBorder="1" applyAlignment="1">
      <alignment horizontal="right" vertical="center" wrapText="1"/>
      <protection/>
    </xf>
    <xf numFmtId="172" fontId="102" fillId="0" borderId="11" xfId="0" applyNumberFormat="1" applyFont="1" applyFill="1" applyBorder="1" applyAlignment="1">
      <alignment horizontal="left" vertical="center" wrapText="1"/>
    </xf>
    <xf numFmtId="2" fontId="102" fillId="0" borderId="32" xfId="0" applyNumberFormat="1" applyFont="1" applyFill="1" applyBorder="1" applyAlignment="1">
      <alignment horizontal="right" vertical="center" wrapText="1"/>
    </xf>
    <xf numFmtId="0" fontId="14" fillId="0" borderId="81" xfId="0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172" fontId="6" fillId="0" borderId="14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horizontal="right" vertical="center" wrapText="1"/>
      <protection/>
    </xf>
    <xf numFmtId="0" fontId="28" fillId="0" borderId="81" xfId="0" applyFont="1" applyFill="1" applyBorder="1" applyAlignment="1">
      <alignment horizontal="center" vertical="center" wrapText="1"/>
    </xf>
    <xf numFmtId="0" fontId="0" fillId="38" borderId="20" xfId="0" applyFill="1" applyBorder="1" applyAlignment="1">
      <alignment/>
    </xf>
    <xf numFmtId="179" fontId="39" fillId="38" borderId="39" xfId="0" applyNumberFormat="1" applyFont="1" applyFill="1" applyBorder="1" applyAlignment="1">
      <alignment/>
    </xf>
    <xf numFmtId="0" fontId="0" fillId="38" borderId="18" xfId="0" applyFill="1" applyBorder="1" applyAlignment="1">
      <alignment/>
    </xf>
    <xf numFmtId="179" fontId="39" fillId="38" borderId="47" xfId="0" applyNumberFormat="1" applyFont="1" applyFill="1" applyBorder="1" applyAlignment="1">
      <alignment/>
    </xf>
    <xf numFmtId="0" fontId="0" fillId="38" borderId="33" xfId="0" applyFill="1" applyBorder="1" applyAlignment="1">
      <alignment/>
    </xf>
    <xf numFmtId="179" fontId="39" fillId="38" borderId="57" xfId="0" applyNumberFormat="1" applyFont="1" applyFill="1" applyBorder="1" applyAlignment="1">
      <alignment/>
    </xf>
    <xf numFmtId="1" fontId="2" fillId="0" borderId="31" xfId="0" applyNumberFormat="1" applyFont="1" applyFill="1" applyBorder="1" applyAlignment="1" applyProtection="1">
      <alignment horizontal="right" vertical="center"/>
      <protection locked="0"/>
    </xf>
    <xf numFmtId="1" fontId="2" fillId="0" borderId="18" xfId="0" applyNumberFormat="1" applyFont="1" applyFill="1" applyBorder="1" applyAlignment="1" applyProtection="1">
      <alignment horizontal="right" vertical="center"/>
      <protection locked="0"/>
    </xf>
    <xf numFmtId="175" fontId="18" fillId="0" borderId="47" xfId="0" applyNumberFormat="1" applyFont="1" applyFill="1" applyBorder="1" applyAlignment="1">
      <alignment vertical="center"/>
    </xf>
    <xf numFmtId="2" fontId="18" fillId="0" borderId="46" xfId="0" applyNumberFormat="1" applyFont="1" applyFill="1" applyBorder="1" applyAlignment="1">
      <alignment vertical="center"/>
    </xf>
    <xf numFmtId="1" fontId="2" fillId="0" borderId="45" xfId="0" applyNumberFormat="1" applyFont="1" applyFill="1" applyBorder="1" applyAlignment="1" applyProtection="1">
      <alignment horizontal="right" vertical="center"/>
      <protection locked="0"/>
    </xf>
    <xf numFmtId="175" fontId="18" fillId="0" borderId="19" xfId="0" applyNumberFormat="1" applyFont="1" applyFill="1" applyBorder="1" applyAlignment="1">
      <alignment vertical="center"/>
    </xf>
    <xf numFmtId="172" fontId="18" fillId="0" borderId="46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2" fontId="2" fillId="0" borderId="47" xfId="0" applyNumberFormat="1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47" xfId="0" applyFont="1" applyFill="1" applyBorder="1" applyAlignment="1">
      <alignment vertical="center"/>
    </xf>
    <xf numFmtId="0" fontId="2" fillId="0" borderId="72" xfId="0" applyNumberFormat="1" applyFont="1" applyFill="1" applyBorder="1" applyAlignment="1" applyProtection="1">
      <alignment horizontal="justify" vertical="center" wrapText="1"/>
      <protection/>
    </xf>
    <xf numFmtId="1" fontId="2" fillId="0" borderId="71" xfId="0" applyNumberFormat="1" applyFont="1" applyFill="1" applyBorder="1" applyAlignment="1" applyProtection="1">
      <alignment horizontal="right" vertical="center"/>
      <protection locked="0"/>
    </xf>
    <xf numFmtId="1" fontId="2" fillId="0" borderId="33" xfId="0" applyNumberFormat="1" applyFont="1" applyFill="1" applyBorder="1" applyAlignment="1" applyProtection="1">
      <alignment horizontal="right" vertical="center"/>
      <protection locked="0"/>
    </xf>
    <xf numFmtId="172" fontId="2" fillId="0" borderId="56" xfId="0" applyNumberFormat="1" applyFont="1" applyFill="1" applyBorder="1" applyAlignment="1" applyProtection="1">
      <alignment horizontal="right" vertical="center"/>
      <protection locked="0"/>
    </xf>
    <xf numFmtId="0" fontId="18" fillId="0" borderId="39" xfId="0" applyFont="1" applyFill="1" applyBorder="1" applyAlignment="1">
      <alignment vertical="center"/>
    </xf>
    <xf numFmtId="172" fontId="18" fillId="0" borderId="39" xfId="0" applyNumberFormat="1" applyFont="1" applyFill="1" applyBorder="1" applyAlignment="1">
      <alignment vertical="center"/>
    </xf>
    <xf numFmtId="172" fontId="6" fillId="33" borderId="14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172" fontId="2" fillId="0" borderId="66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172" fontId="7" fillId="0" borderId="11" xfId="0" applyNumberFormat="1" applyFont="1" applyFill="1" applyBorder="1" applyAlignment="1">
      <alignment horizontal="right" vertical="center"/>
    </xf>
    <xf numFmtId="172" fontId="7" fillId="0" borderId="39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 horizontal="right" vertical="center"/>
    </xf>
    <xf numFmtId="172" fontId="9" fillId="0" borderId="31" xfId="0" applyNumberFormat="1" applyFont="1" applyFill="1" applyBorder="1" applyAlignment="1">
      <alignment horizontal="right" vertical="center"/>
    </xf>
    <xf numFmtId="172" fontId="7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 vertical="center" wrapText="1"/>
    </xf>
    <xf numFmtId="2" fontId="3" fillId="0" borderId="26" xfId="0" applyNumberFormat="1" applyFont="1" applyFill="1" applyBorder="1" applyAlignment="1">
      <alignment horizontal="right" vertical="center"/>
    </xf>
    <xf numFmtId="172" fontId="3" fillId="0" borderId="22" xfId="0" applyNumberFormat="1" applyFont="1" applyFill="1" applyBorder="1" applyAlignment="1">
      <alignment horizontal="right" vertical="center"/>
    </xf>
    <xf numFmtId="172" fontId="3" fillId="0" borderId="30" xfId="0" applyNumberFormat="1" applyFont="1" applyFill="1" applyBorder="1" applyAlignment="1">
      <alignment horizontal="right" vertical="center" wrapText="1"/>
    </xf>
    <xf numFmtId="2" fontId="3" fillId="0" borderId="22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172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left" vertical="center" wrapText="1"/>
    </xf>
    <xf numFmtId="2" fontId="9" fillId="0" borderId="40" xfId="0" applyNumberFormat="1" applyFont="1" applyFill="1" applyBorder="1" applyAlignment="1">
      <alignment horizontal="right" vertical="center"/>
    </xf>
    <xf numFmtId="172" fontId="9" fillId="0" borderId="20" xfId="0" applyNumberFormat="1" applyFont="1" applyFill="1" applyBorder="1" applyAlignment="1">
      <alignment horizontal="right" vertical="center"/>
    </xf>
    <xf numFmtId="172" fontId="9" fillId="0" borderId="40" xfId="0" applyNumberFormat="1" applyFont="1" applyFill="1" applyBorder="1" applyAlignment="1">
      <alignment horizontal="right" vertical="center" wrapText="1"/>
    </xf>
    <xf numFmtId="172" fontId="9" fillId="0" borderId="32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1" fontId="9" fillId="0" borderId="48" xfId="0" applyNumberFormat="1" applyFont="1" applyFill="1" applyBorder="1" applyAlignment="1">
      <alignment horizontal="center" vertical="center"/>
    </xf>
    <xf numFmtId="0" fontId="102" fillId="0" borderId="20" xfId="0" applyFont="1" applyFill="1" applyBorder="1" applyAlignment="1">
      <alignment vertical="center"/>
    </xf>
    <xf numFmtId="172" fontId="9" fillId="0" borderId="39" xfId="0" applyNumberFormat="1" applyFont="1" applyFill="1" applyBorder="1" applyAlignment="1">
      <alignment vertical="center"/>
    </xf>
    <xf numFmtId="0" fontId="10" fillId="0" borderId="40" xfId="0" applyFont="1" applyFill="1" applyBorder="1" applyAlignment="1">
      <alignment horizontal="right" vertical="center"/>
    </xf>
    <xf numFmtId="0" fontId="108" fillId="0" borderId="21" xfId="0" applyFont="1" applyFill="1" applyBorder="1" applyAlignment="1">
      <alignment vertical="center" wrapText="1"/>
    </xf>
    <xf numFmtId="0" fontId="108" fillId="0" borderId="20" xfId="0" applyFont="1" applyFill="1" applyBorder="1" applyAlignment="1">
      <alignment vertical="center"/>
    </xf>
    <xf numFmtId="0" fontId="108" fillId="0" borderId="39" xfId="0" applyFont="1" applyFill="1" applyBorder="1" applyAlignment="1">
      <alignment vertical="center"/>
    </xf>
    <xf numFmtId="1" fontId="108" fillId="0" borderId="48" xfId="0" applyNumberFormat="1" applyFont="1" applyFill="1" applyBorder="1" applyAlignment="1">
      <alignment horizontal="center" vertical="center"/>
    </xf>
    <xf numFmtId="172" fontId="108" fillId="0" borderId="39" xfId="0" applyNumberFormat="1" applyFont="1" applyFill="1" applyBorder="1" applyAlignment="1">
      <alignment vertical="center"/>
    </xf>
    <xf numFmtId="0" fontId="109" fillId="0" borderId="40" xfId="0" applyFont="1" applyFill="1" applyBorder="1" applyAlignment="1">
      <alignment horizontal="right" vertical="center"/>
    </xf>
    <xf numFmtId="0" fontId="102" fillId="0" borderId="39" xfId="0" applyFont="1" applyFill="1" applyBorder="1" applyAlignment="1">
      <alignment vertical="center"/>
    </xf>
    <xf numFmtId="1" fontId="102" fillId="0" borderId="48" xfId="0" applyNumberFormat="1" applyFont="1" applyFill="1" applyBorder="1" applyAlignment="1">
      <alignment horizontal="center" vertical="center"/>
    </xf>
    <xf numFmtId="0" fontId="110" fillId="0" borderId="40" xfId="0" applyFont="1" applyFill="1" applyBorder="1" applyAlignment="1">
      <alignment horizontal="right" vertical="center"/>
    </xf>
    <xf numFmtId="1" fontId="9" fillId="0" borderId="20" xfId="0" applyNumberFormat="1" applyFont="1" applyFill="1" applyBorder="1" applyAlignment="1">
      <alignment horizontal="right" vertical="center"/>
    </xf>
    <xf numFmtId="172" fontId="9" fillId="0" borderId="13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72" fontId="9" fillId="0" borderId="39" xfId="0" applyNumberFormat="1" applyFont="1" applyFill="1" applyBorder="1" applyAlignment="1">
      <alignment horizontal="right" vertical="center"/>
    </xf>
    <xf numFmtId="1" fontId="9" fillId="0" borderId="39" xfId="0" applyNumberFormat="1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vertical="center" wrapText="1"/>
    </xf>
    <xf numFmtId="0" fontId="110" fillId="0" borderId="40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08" fillId="0" borderId="21" xfId="0" applyFont="1" applyFill="1" applyBorder="1" applyAlignment="1">
      <alignment horizontal="left" vertical="center" wrapText="1"/>
    </xf>
    <xf numFmtId="172" fontId="102" fillId="0" borderId="39" xfId="0" applyNumberFormat="1" applyFont="1" applyFill="1" applyBorder="1" applyAlignment="1">
      <alignment horizontal="right" vertical="center"/>
    </xf>
    <xf numFmtId="0" fontId="9" fillId="0" borderId="59" xfId="0" applyFont="1" applyFill="1" applyBorder="1" applyAlignment="1">
      <alignment vertical="center" wrapText="1"/>
    </xf>
    <xf numFmtId="0" fontId="9" fillId="0" borderId="60" xfId="0" applyFont="1" applyFill="1" applyBorder="1" applyAlignment="1">
      <alignment vertical="center"/>
    </xf>
    <xf numFmtId="172" fontId="9" fillId="0" borderId="61" xfId="0" applyNumberFormat="1" applyFont="1" applyFill="1" applyBorder="1" applyAlignment="1">
      <alignment vertical="center"/>
    </xf>
    <xf numFmtId="1" fontId="9" fillId="0" borderId="58" xfId="0" applyNumberFormat="1" applyFont="1" applyFill="1" applyBorder="1" applyAlignment="1">
      <alignment horizontal="center" vertical="center"/>
    </xf>
    <xf numFmtId="0" fontId="102" fillId="0" borderId="61" xfId="0" applyFont="1" applyFill="1" applyBorder="1" applyAlignment="1">
      <alignment vertical="center"/>
    </xf>
    <xf numFmtId="0" fontId="102" fillId="0" borderId="60" xfId="0" applyFont="1" applyFill="1" applyBorder="1" applyAlignment="1">
      <alignment vertical="center"/>
    </xf>
    <xf numFmtId="0" fontId="110" fillId="0" borderId="8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/>
    </xf>
    <xf numFmtId="0" fontId="108" fillId="0" borderId="11" xfId="0" applyFont="1" applyFill="1" applyBorder="1" applyAlignment="1">
      <alignment vertical="center"/>
    </xf>
    <xf numFmtId="0" fontId="102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right" vertical="center"/>
    </xf>
    <xf numFmtId="0" fontId="9" fillId="0" borderId="68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1" fontId="108" fillId="0" borderId="11" xfId="0" applyNumberFormat="1" applyFont="1" applyFill="1" applyBorder="1" applyAlignment="1">
      <alignment horizontal="center" vertical="center"/>
    </xf>
    <xf numFmtId="1" fontId="102" fillId="0" borderId="11" xfId="0" applyNumberFormat="1" applyFont="1" applyFill="1" applyBorder="1" applyAlignment="1">
      <alignment horizontal="center" vertical="center"/>
    </xf>
    <xf numFmtId="1" fontId="9" fillId="0" borderId="68" xfId="0" applyNumberFormat="1" applyFont="1" applyFill="1" applyBorder="1" applyAlignment="1">
      <alignment horizontal="center" vertical="center"/>
    </xf>
    <xf numFmtId="199" fontId="0" fillId="0" borderId="0" xfId="0" applyNumberFormat="1" applyAlignment="1">
      <alignment/>
    </xf>
    <xf numFmtId="0" fontId="3" fillId="0" borderId="2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0" fontId="3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>
      <alignment horizontal="center"/>
    </xf>
    <xf numFmtId="169" fontId="3" fillId="0" borderId="45" xfId="0" applyNumberFormat="1" applyFont="1" applyFill="1" applyBorder="1" applyAlignment="1">
      <alignment horizontal="right"/>
    </xf>
    <xf numFmtId="198" fontId="3" fillId="0" borderId="38" xfId="0" applyNumberFormat="1" applyFont="1" applyFill="1" applyBorder="1" applyAlignment="1">
      <alignment/>
    </xf>
    <xf numFmtId="191" fontId="4" fillId="0" borderId="44" xfId="0" applyNumberFormat="1" applyFont="1" applyFill="1" applyBorder="1" applyAlignment="1">
      <alignment horizontal="right"/>
    </xf>
    <xf numFmtId="191" fontId="3" fillId="0" borderId="17" xfId="0" applyNumberFormat="1" applyFont="1" applyFill="1" applyBorder="1" applyAlignment="1">
      <alignment/>
    </xf>
    <xf numFmtId="191" fontId="4" fillId="0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/>
    </xf>
    <xf numFmtId="208" fontId="0" fillId="0" borderId="0" xfId="0" applyNumberFormat="1" applyAlignment="1">
      <alignment/>
    </xf>
    <xf numFmtId="209" fontId="0" fillId="0" borderId="0" xfId="0" applyNumberFormat="1" applyAlignment="1">
      <alignment/>
    </xf>
    <xf numFmtId="172" fontId="36" fillId="0" borderId="43" xfId="0" applyNumberFormat="1" applyFont="1" applyBorder="1" applyAlignment="1">
      <alignment/>
    </xf>
    <xf numFmtId="172" fontId="36" fillId="0" borderId="0" xfId="0" applyNumberFormat="1" applyFont="1" applyBorder="1" applyAlignment="1">
      <alignment/>
    </xf>
    <xf numFmtId="172" fontId="36" fillId="0" borderId="84" xfId="0" applyNumberFormat="1" applyFont="1" applyBorder="1" applyAlignment="1">
      <alignment/>
    </xf>
    <xf numFmtId="172" fontId="36" fillId="0" borderId="30" xfId="0" applyNumberFormat="1" applyFont="1" applyBorder="1" applyAlignment="1">
      <alignment vertical="center"/>
    </xf>
    <xf numFmtId="0" fontId="36" fillId="0" borderId="28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10" xfId="0" applyFont="1" applyBorder="1" applyAlignment="1">
      <alignment vertical="center"/>
    </xf>
    <xf numFmtId="0" fontId="36" fillId="0" borderId="19" xfId="0" applyFont="1" applyBorder="1" applyAlignment="1">
      <alignment horizontal="right"/>
    </xf>
    <xf numFmtId="172" fontId="36" fillId="0" borderId="13" xfId="0" applyNumberFormat="1" applyFont="1" applyBorder="1" applyAlignment="1">
      <alignment horizontal="right"/>
    </xf>
    <xf numFmtId="1" fontId="36" fillId="0" borderId="13" xfId="0" applyNumberFormat="1" applyFont="1" applyBorder="1" applyAlignment="1">
      <alignment horizontal="right"/>
    </xf>
    <xf numFmtId="0" fontId="36" fillId="0" borderId="13" xfId="0" applyFont="1" applyBorder="1" applyAlignment="1">
      <alignment horizontal="right"/>
    </xf>
    <xf numFmtId="0" fontId="2" fillId="0" borderId="36" xfId="0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/>
    </xf>
    <xf numFmtId="172" fontId="28" fillId="0" borderId="30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91" fontId="2" fillId="0" borderId="38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0" fillId="0" borderId="47" xfId="56" applyFont="1" applyFill="1" applyBorder="1" applyAlignment="1">
      <alignment horizontal="right"/>
      <protection/>
    </xf>
    <xf numFmtId="0" fontId="100" fillId="0" borderId="39" xfId="56" applyFont="1" applyFill="1" applyBorder="1" applyAlignment="1">
      <alignment horizontal="right"/>
      <protection/>
    </xf>
    <xf numFmtId="0" fontId="3" fillId="33" borderId="0" xfId="0" applyFont="1" applyFill="1" applyAlignment="1">
      <alignment horizontal="right"/>
    </xf>
    <xf numFmtId="172" fontId="2" fillId="33" borderId="68" xfId="0" applyNumberFormat="1" applyFont="1" applyFill="1" applyBorder="1" applyAlignment="1">
      <alignment horizontal="right" vertical="center"/>
    </xf>
    <xf numFmtId="172" fontId="6" fillId="33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72" fontId="12" fillId="0" borderId="87" xfId="0" applyNumberFormat="1" applyFont="1" applyFill="1" applyBorder="1" applyAlignment="1">
      <alignment vertical="center"/>
    </xf>
    <xf numFmtId="172" fontId="12" fillId="0" borderId="0" xfId="0" applyNumberFormat="1" applyFont="1" applyFill="1" applyBorder="1" applyAlignment="1">
      <alignment vertical="center"/>
    </xf>
    <xf numFmtId="0" fontId="12" fillId="0" borderId="97" xfId="0" applyFont="1" applyFill="1" applyBorder="1" applyAlignment="1">
      <alignment vertical="center"/>
    </xf>
    <xf numFmtId="1" fontId="98" fillId="0" borderId="90" xfId="0" applyNumberFormat="1" applyFont="1" applyFill="1" applyBorder="1" applyAlignment="1">
      <alignment/>
    </xf>
    <xf numFmtId="0" fontId="12" fillId="0" borderId="18" xfId="0" applyFont="1" applyFill="1" applyBorder="1" applyAlignment="1">
      <alignment vertical="center"/>
    </xf>
    <xf numFmtId="1" fontId="98" fillId="0" borderId="86" xfId="0" applyNumberFormat="1" applyFont="1" applyFill="1" applyBorder="1" applyAlignment="1">
      <alignment/>
    </xf>
    <xf numFmtId="0" fontId="12" fillId="0" borderId="20" xfId="0" applyFont="1" applyFill="1" applyBorder="1" applyAlignment="1">
      <alignment vertical="center"/>
    </xf>
    <xf numFmtId="172" fontId="12" fillId="0" borderId="98" xfId="0" applyNumberFormat="1" applyFont="1" applyFill="1" applyBorder="1" applyAlignment="1">
      <alignment vertical="center"/>
    </xf>
    <xf numFmtId="172" fontId="12" fillId="0" borderId="41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horizontal="center"/>
    </xf>
    <xf numFmtId="0" fontId="23" fillId="7" borderId="53" xfId="0" applyFont="1" applyFill="1" applyBorder="1" applyAlignment="1">
      <alignment horizontal="center"/>
    </xf>
    <xf numFmtId="0" fontId="23" fillId="7" borderId="76" xfId="0" applyFont="1" applyFill="1" applyBorder="1" applyAlignment="1">
      <alignment horizontal="center"/>
    </xf>
    <xf numFmtId="0" fontId="23" fillId="7" borderId="54" xfId="0" applyFont="1" applyFill="1" applyBorder="1" applyAlignment="1">
      <alignment horizontal="center"/>
    </xf>
    <xf numFmtId="175" fontId="94" fillId="7" borderId="53" xfId="54" applyNumberFormat="1" applyFont="1" applyFill="1" applyBorder="1" applyAlignment="1">
      <alignment horizontal="right"/>
      <protection/>
    </xf>
    <xf numFmtId="175" fontId="94" fillId="7" borderId="76" xfId="54" applyNumberFormat="1" applyFont="1" applyFill="1" applyBorder="1" applyAlignment="1">
      <alignment horizontal="right"/>
      <protection/>
    </xf>
    <xf numFmtId="175" fontId="94" fillId="7" borderId="54" xfId="54" applyNumberFormat="1" applyFont="1" applyFill="1" applyBorder="1" applyAlignment="1">
      <alignment horizontal="right"/>
      <protection/>
    </xf>
    <xf numFmtId="49" fontId="14" fillId="0" borderId="84" xfId="0" applyNumberFormat="1" applyFont="1" applyFill="1" applyBorder="1" applyAlignment="1">
      <alignment horizontal="right"/>
    </xf>
    <xf numFmtId="172" fontId="14" fillId="0" borderId="84" xfId="0" applyNumberFormat="1" applyFont="1" applyFill="1" applyBorder="1" applyAlignment="1">
      <alignment horizontal="right" vertical="center"/>
    </xf>
    <xf numFmtId="175" fontId="94" fillId="33" borderId="20" xfId="54" applyNumberFormat="1" applyFont="1" applyFill="1" applyBorder="1" applyAlignment="1">
      <alignment horizontal="right"/>
      <protection/>
    </xf>
    <xf numFmtId="175" fontId="94" fillId="33" borderId="64" xfId="54" applyNumberFormat="1" applyFont="1" applyFill="1" applyBorder="1" applyAlignment="1">
      <alignment horizontal="right"/>
      <protection/>
    </xf>
    <xf numFmtId="175" fontId="94" fillId="33" borderId="53" xfId="54" applyNumberFormat="1" applyFont="1" applyFill="1" applyBorder="1" applyAlignment="1">
      <alignment horizontal="right"/>
      <protection/>
    </xf>
    <xf numFmtId="175" fontId="94" fillId="33" borderId="33" xfId="54" applyNumberFormat="1" applyFont="1" applyFill="1" applyBorder="1" applyAlignment="1">
      <alignment horizontal="right"/>
      <protection/>
    </xf>
    <xf numFmtId="175" fontId="94" fillId="33" borderId="18" xfId="54" applyNumberFormat="1" applyFont="1" applyFill="1" applyBorder="1" applyAlignment="1">
      <alignment horizontal="right"/>
      <protection/>
    </xf>
    <xf numFmtId="175" fontId="94" fillId="33" borderId="60" xfId="54" applyNumberFormat="1" applyFont="1" applyFill="1" applyBorder="1" applyAlignment="1">
      <alignment horizontal="right"/>
      <protection/>
    </xf>
    <xf numFmtId="175" fontId="94" fillId="33" borderId="99" xfId="54" applyNumberFormat="1" applyFont="1" applyFill="1" applyBorder="1" applyAlignment="1">
      <alignment horizontal="right"/>
      <protection/>
    </xf>
    <xf numFmtId="175" fontId="94" fillId="33" borderId="36" xfId="54" applyNumberFormat="1" applyFont="1" applyFill="1" applyBorder="1" applyAlignment="1">
      <alignment horizontal="right"/>
      <protection/>
    </xf>
    <xf numFmtId="175" fontId="94" fillId="33" borderId="53" xfId="54" applyNumberFormat="1" applyFont="1" applyFill="1" applyBorder="1" applyAlignment="1">
      <alignment horizontal="right" vertical="center"/>
      <protection/>
    </xf>
    <xf numFmtId="175" fontId="94" fillId="33" borderId="33" xfId="54" applyNumberFormat="1" applyFont="1" applyFill="1" applyBorder="1" applyAlignment="1">
      <alignment horizontal="right" vertical="center"/>
      <protection/>
    </xf>
    <xf numFmtId="0" fontId="40" fillId="0" borderId="66" xfId="0" applyFont="1" applyFill="1" applyBorder="1" applyAlignment="1">
      <alignment horizontal="left" vertical="center" wrapText="1"/>
    </xf>
    <xf numFmtId="0" fontId="33" fillId="7" borderId="83" xfId="0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right" vertical="center" wrapText="1"/>
    </xf>
    <xf numFmtId="207" fontId="0" fillId="0" borderId="0" xfId="0" applyNumberFormat="1" applyAlignment="1">
      <alignment/>
    </xf>
    <xf numFmtId="0" fontId="2" fillId="33" borderId="42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0" fontId="98" fillId="0" borderId="48" xfId="0" applyFont="1" applyFill="1" applyBorder="1" applyAlignment="1">
      <alignment horizontal="right" vertical="center"/>
    </xf>
    <xf numFmtId="2" fontId="98" fillId="0" borderId="13" xfId="0" applyNumberFormat="1" applyFont="1" applyFill="1" applyBorder="1" applyAlignment="1">
      <alignment horizontal="right" vertical="center"/>
    </xf>
    <xf numFmtId="0" fontId="111" fillId="0" borderId="40" xfId="0" applyFont="1" applyFill="1" applyBorder="1" applyAlignment="1">
      <alignment horizontal="right" vertical="center" wrapText="1"/>
    </xf>
    <xf numFmtId="0" fontId="98" fillId="0" borderId="17" xfId="0" applyFont="1" applyFill="1" applyBorder="1" applyAlignment="1">
      <alignment vertical="center"/>
    </xf>
    <xf numFmtId="0" fontId="98" fillId="0" borderId="45" xfId="0" applyFont="1" applyFill="1" applyBorder="1" applyAlignment="1">
      <alignment vertical="center"/>
    </xf>
    <xf numFmtId="2" fontId="98" fillId="0" borderId="19" xfId="0" applyNumberFormat="1" applyFont="1" applyFill="1" applyBorder="1" applyAlignment="1">
      <alignment vertical="center"/>
    </xf>
    <xf numFmtId="172" fontId="98" fillId="0" borderId="47" xfId="0" applyNumberFormat="1" applyFont="1" applyFill="1" applyBorder="1" applyAlignment="1">
      <alignment vertical="center"/>
    </xf>
    <xf numFmtId="0" fontId="111" fillId="0" borderId="66" xfId="0" applyFont="1" applyFill="1" applyBorder="1" applyAlignment="1">
      <alignment horizontal="right" vertical="center"/>
    </xf>
    <xf numFmtId="0" fontId="111" fillId="0" borderId="45" xfId="0" applyFont="1" applyFill="1" applyBorder="1" applyAlignment="1">
      <alignment horizontal="right" vertical="center"/>
    </xf>
    <xf numFmtId="0" fontId="111" fillId="0" borderId="38" xfId="0" applyFont="1" applyFill="1" applyBorder="1" applyAlignment="1">
      <alignment horizontal="right" vertical="center"/>
    </xf>
    <xf numFmtId="0" fontId="36" fillId="0" borderId="38" xfId="0" applyFont="1" applyBorder="1" applyAlignment="1">
      <alignment horizontal="right" vertical="center"/>
    </xf>
    <xf numFmtId="0" fontId="111" fillId="0" borderId="40" xfId="0" applyFont="1" applyFill="1" applyBorder="1" applyAlignment="1">
      <alignment horizontal="right" vertical="center"/>
    </xf>
    <xf numFmtId="2" fontId="98" fillId="0" borderId="13" xfId="0" applyNumberFormat="1" applyFont="1" applyFill="1" applyBorder="1" applyAlignment="1">
      <alignment vertical="center"/>
    </xf>
    <xf numFmtId="0" fontId="98" fillId="0" borderId="25" xfId="0" applyFont="1" applyFill="1" applyBorder="1" applyAlignment="1">
      <alignment vertical="center"/>
    </xf>
    <xf numFmtId="172" fontId="98" fillId="0" borderId="12" xfId="0" applyNumberFormat="1" applyFont="1" applyFill="1" applyBorder="1" applyAlignment="1">
      <alignment vertical="center"/>
    </xf>
    <xf numFmtId="0" fontId="98" fillId="0" borderId="30" xfId="0" applyFont="1" applyFill="1" applyBorder="1" applyAlignment="1">
      <alignment horizontal="right" vertical="center"/>
    </xf>
    <xf numFmtId="210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172" fontId="2" fillId="33" borderId="80" xfId="0" applyNumberFormat="1" applyFont="1" applyFill="1" applyBorder="1" applyAlignment="1">
      <alignment horizontal="right" vertical="center"/>
    </xf>
    <xf numFmtId="172" fontId="2" fillId="33" borderId="69" xfId="0" applyNumberFormat="1" applyFont="1" applyFill="1" applyBorder="1" applyAlignment="1">
      <alignment horizontal="right" vertical="center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40" xfId="0" applyNumberFormat="1" applyFont="1" applyFill="1" applyBorder="1" applyAlignment="1">
      <alignment horizontal="right" vertical="center"/>
    </xf>
    <xf numFmtId="172" fontId="2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172" fontId="9" fillId="0" borderId="54" xfId="0" applyNumberFormat="1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72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172" fontId="9" fillId="0" borderId="72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72" fontId="7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0" fontId="23" fillId="0" borderId="53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49" fontId="22" fillId="0" borderId="36" xfId="0" applyNumberFormat="1" applyFont="1" applyBorder="1" applyAlignment="1">
      <alignment horizontal="center" vertical="center"/>
    </xf>
    <xf numFmtId="0" fontId="23" fillId="0" borderId="75" xfId="0" applyFont="1" applyFill="1" applyBorder="1" applyAlignment="1">
      <alignment horizontal="left" vertical="center" wrapText="1"/>
    </xf>
    <xf numFmtId="175" fontId="23" fillId="0" borderId="47" xfId="0" applyNumberFormat="1" applyFont="1" applyFill="1" applyBorder="1" applyAlignment="1">
      <alignment horizontal="right" vertical="center"/>
    </xf>
    <xf numFmtId="0" fontId="22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left" vertical="center" wrapText="1"/>
    </xf>
    <xf numFmtId="175" fontId="23" fillId="36" borderId="12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horizontal="right"/>
    </xf>
    <xf numFmtId="0" fontId="0" fillId="0" borderId="53" xfId="0" applyBorder="1" applyAlignment="1">
      <alignment horizontal="center" vertical="center"/>
    </xf>
    <xf numFmtId="191" fontId="2" fillId="0" borderId="7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6" fillId="0" borderId="52" xfId="0" applyFont="1" applyBorder="1" applyAlignment="1">
      <alignment/>
    </xf>
    <xf numFmtId="0" fontId="0" fillId="0" borderId="56" xfId="0" applyBorder="1" applyAlignment="1">
      <alignment/>
    </xf>
    <xf numFmtId="0" fontId="36" fillId="0" borderId="53" xfId="0" applyFont="1" applyBorder="1" applyAlignment="1">
      <alignment/>
    </xf>
    <xf numFmtId="0" fontId="0" fillId="0" borderId="6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/>
    </xf>
    <xf numFmtId="2" fontId="9" fillId="0" borderId="66" xfId="0" applyNumberFormat="1" applyFont="1" applyFill="1" applyBorder="1" applyAlignment="1">
      <alignment horizontal="right" vertical="center" wrapText="1"/>
    </xf>
    <xf numFmtId="172" fontId="9" fillId="0" borderId="66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31" xfId="0" applyFill="1" applyBorder="1" applyAlignment="1">
      <alignment horizontal="right"/>
    </xf>
    <xf numFmtId="0" fontId="14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/>
    </xf>
    <xf numFmtId="172" fontId="0" fillId="0" borderId="85" xfId="0" applyNumberFormat="1" applyFill="1" applyBorder="1" applyAlignment="1">
      <alignment/>
    </xf>
    <xf numFmtId="0" fontId="0" fillId="0" borderId="86" xfId="0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87" xfId="0" applyNumberFormat="1" applyFill="1" applyBorder="1" applyAlignment="1">
      <alignment/>
    </xf>
    <xf numFmtId="0" fontId="0" fillId="0" borderId="90" xfId="0" applyFill="1" applyBorder="1" applyAlignment="1">
      <alignment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72" fontId="0" fillId="0" borderId="17" xfId="0" applyNumberFormat="1" applyBorder="1" applyAlignment="1">
      <alignment/>
    </xf>
    <xf numFmtId="172" fontId="9" fillId="0" borderId="66" xfId="0" applyNumberFormat="1" applyFont="1" applyFill="1" applyBorder="1" applyAlignment="1">
      <alignment horizontal="left" vertical="center" wrapText="1"/>
    </xf>
    <xf numFmtId="2" fontId="9" fillId="0" borderId="81" xfId="0" applyNumberFormat="1" applyFont="1" applyFill="1" applyBorder="1" applyAlignment="1">
      <alignment horizontal="right" vertical="center" wrapText="1"/>
    </xf>
    <xf numFmtId="172" fontId="9" fillId="0" borderId="72" xfId="0" applyNumberFormat="1" applyFont="1" applyFill="1" applyBorder="1" applyAlignment="1">
      <alignment horizontal="right" vertical="center" wrapText="1"/>
    </xf>
    <xf numFmtId="172" fontId="9" fillId="0" borderId="81" xfId="0" applyNumberFormat="1" applyFont="1" applyFill="1" applyBorder="1" applyAlignment="1">
      <alignment horizontal="right" vertical="center" wrapText="1"/>
    </xf>
    <xf numFmtId="49" fontId="6" fillId="0" borderId="6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6" fillId="0" borderId="63" xfId="0" applyFont="1" applyFill="1" applyBorder="1" applyAlignment="1">
      <alignment horizontal="center" vertical="center" wrapText="1"/>
    </xf>
    <xf numFmtId="174" fontId="6" fillId="0" borderId="23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6" fillId="0" borderId="23" xfId="0" applyNumberFormat="1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/>
    </xf>
    <xf numFmtId="174" fontId="6" fillId="0" borderId="65" xfId="0" applyNumberFormat="1" applyFont="1" applyFill="1" applyBorder="1" applyAlignment="1">
      <alignment vertical="center"/>
    </xf>
    <xf numFmtId="174" fontId="6" fillId="0" borderId="6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3" fillId="0" borderId="3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172" fontId="1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112" fillId="0" borderId="0" xfId="0" applyFont="1" applyFill="1" applyAlignment="1">
      <alignment/>
    </xf>
    <xf numFmtId="1" fontId="11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0" fontId="36" fillId="0" borderId="0" xfId="0" applyFont="1" applyFill="1" applyAlignment="1">
      <alignment/>
    </xf>
    <xf numFmtId="0" fontId="36" fillId="0" borderId="41" xfId="0" applyFont="1" applyFill="1" applyBorder="1" applyAlignment="1">
      <alignment/>
    </xf>
    <xf numFmtId="0" fontId="36" fillId="0" borderId="69" xfId="0" applyFont="1" applyFill="1" applyBorder="1" applyAlignment="1">
      <alignment/>
    </xf>
    <xf numFmtId="0" fontId="36" fillId="0" borderId="37" xfId="0" applyFont="1" applyFill="1" applyBorder="1" applyAlignment="1">
      <alignment/>
    </xf>
    <xf numFmtId="0" fontId="36" fillId="0" borderId="26" xfId="0" applyFont="1" applyFill="1" applyBorder="1" applyAlignment="1">
      <alignment/>
    </xf>
    <xf numFmtId="0" fontId="36" fillId="0" borderId="30" xfId="0" applyFont="1" applyFill="1" applyBorder="1" applyAlignment="1">
      <alignment/>
    </xf>
    <xf numFmtId="0" fontId="36" fillId="0" borderId="19" xfId="0" applyFont="1" applyFill="1" applyBorder="1" applyAlignment="1">
      <alignment horizontal="right"/>
    </xf>
    <xf numFmtId="172" fontId="36" fillId="0" borderId="13" xfId="0" applyNumberFormat="1" applyFont="1" applyFill="1" applyBorder="1" applyAlignment="1">
      <alignment horizontal="right"/>
    </xf>
    <xf numFmtId="0" fontId="36" fillId="0" borderId="13" xfId="0" applyFont="1" applyFill="1" applyBorder="1" applyAlignment="1">
      <alignment horizontal="right"/>
    </xf>
    <xf numFmtId="0" fontId="36" fillId="0" borderId="13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 horizontal="right"/>
    </xf>
    <xf numFmtId="0" fontId="36" fillId="0" borderId="31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/>
    </xf>
    <xf numFmtId="0" fontId="0" fillId="0" borderId="34" xfId="0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2" fillId="0" borderId="64" xfId="0" applyFont="1" applyFill="1" applyBorder="1" applyAlignment="1">
      <alignment horizontal="center" vertical="center"/>
    </xf>
    <xf numFmtId="0" fontId="0" fillId="0" borderId="76" xfId="0" applyFill="1" applyBorder="1" applyAlignment="1">
      <alignment/>
    </xf>
    <xf numFmtId="0" fontId="0" fillId="0" borderId="54" xfId="0" applyFill="1" applyBorder="1" applyAlignment="1">
      <alignment/>
    </xf>
    <xf numFmtId="49" fontId="22" fillId="0" borderId="68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6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22" fillId="0" borderId="81" xfId="0" applyNumberFormat="1" applyFont="1" applyBorder="1" applyAlignment="1">
      <alignment horizontal="center" vertical="center"/>
    </xf>
    <xf numFmtId="0" fontId="22" fillId="0" borderId="81" xfId="0" applyFont="1" applyBorder="1" applyAlignment="1">
      <alignment horizontal="left" vertical="center" wrapText="1"/>
    </xf>
    <xf numFmtId="49" fontId="22" fillId="0" borderId="23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 wrapText="1"/>
    </xf>
    <xf numFmtId="0" fontId="23" fillId="0" borderId="81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left" vertical="center" wrapText="1"/>
    </xf>
    <xf numFmtId="2" fontId="6" fillId="0" borderId="77" xfId="0" applyNumberFormat="1" applyFont="1" applyBorder="1" applyAlignment="1">
      <alignment horizontal="left" vertical="center" wrapText="1"/>
    </xf>
    <xf numFmtId="49" fontId="22" fillId="0" borderId="53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0" fontId="6" fillId="0" borderId="7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23" fillId="0" borderId="8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2" fillId="39" borderId="42" xfId="0" applyNumberFormat="1" applyFont="1" applyFill="1" applyBorder="1" applyAlignment="1">
      <alignment horizontal="center" vertical="center"/>
    </xf>
    <xf numFmtId="49" fontId="22" fillId="39" borderId="81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60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77" xfId="0" applyFont="1" applyFill="1" applyBorder="1" applyAlignment="1">
      <alignment horizontal="left" vertical="center" wrapText="1"/>
    </xf>
    <xf numFmtId="49" fontId="22" fillId="0" borderId="53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2" fillId="0" borderId="5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3" fillId="0" borderId="76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77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49" fontId="22" fillId="7" borderId="18" xfId="0" applyNumberFormat="1" applyFont="1" applyFill="1" applyBorder="1" applyAlignment="1">
      <alignment horizontal="center" vertical="center"/>
    </xf>
    <xf numFmtId="49" fontId="22" fillId="7" borderId="20" xfId="0" applyNumberFormat="1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left" vertical="center" wrapText="1"/>
    </xf>
    <xf numFmtId="0" fontId="23" fillId="7" borderId="13" xfId="0" applyFont="1" applyFill="1" applyBorder="1" applyAlignment="1">
      <alignment horizontal="left" vertical="center" wrapText="1"/>
    </xf>
    <xf numFmtId="0" fontId="23" fillId="0" borderId="76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33" borderId="19" xfId="0" applyFont="1" applyFill="1" applyBorder="1" applyAlignment="1">
      <alignment horizontal="left" vertical="center" wrapText="1"/>
    </xf>
    <xf numFmtId="0" fontId="23" fillId="33" borderId="77" xfId="0" applyFont="1" applyFill="1" applyBorder="1" applyAlignment="1">
      <alignment horizontal="left" vertical="center" wrapText="1"/>
    </xf>
    <xf numFmtId="0" fontId="23" fillId="33" borderId="76" xfId="0" applyFont="1" applyFill="1" applyBorder="1" applyAlignment="1">
      <alignment horizontal="left" vertical="center" wrapText="1"/>
    </xf>
    <xf numFmtId="0" fontId="23" fillId="33" borderId="34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 wrapText="1"/>
    </xf>
    <xf numFmtId="49" fontId="32" fillId="0" borderId="20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/>
    </xf>
    <xf numFmtId="49" fontId="22" fillId="33" borderId="64" xfId="0" applyNumberFormat="1" applyFont="1" applyFill="1" applyBorder="1" applyAlignment="1">
      <alignment horizontal="center" vertical="center"/>
    </xf>
    <xf numFmtId="49" fontId="22" fillId="33" borderId="18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49" fontId="32" fillId="0" borderId="53" xfId="0" applyNumberFormat="1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left" vertical="center" wrapText="1"/>
    </xf>
    <xf numFmtId="0" fontId="23" fillId="7" borderId="13" xfId="0" applyFont="1" applyFill="1" applyBorder="1" applyAlignment="1">
      <alignment horizontal="left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8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84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26" xfId="0" applyNumberFormat="1" applyFont="1" applyBorder="1" applyAlignment="1">
      <alignment horizontal="center" vertical="center" wrapText="1"/>
    </xf>
    <xf numFmtId="0" fontId="33" fillId="0" borderId="3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left" vertical="center"/>
    </xf>
    <xf numFmtId="0" fontId="94" fillId="0" borderId="1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88" xfId="0" applyFont="1" applyFill="1" applyBorder="1" applyAlignment="1">
      <alignment horizontal="center" vertical="center" textRotation="90" wrapText="1"/>
    </xf>
    <xf numFmtId="0" fontId="14" fillId="0" borderId="101" xfId="0" applyFont="1" applyFill="1" applyBorder="1" applyAlignment="1">
      <alignment horizontal="center" vertical="center" textRotation="90" wrapText="1"/>
    </xf>
    <xf numFmtId="0" fontId="28" fillId="0" borderId="88" xfId="0" applyFont="1" applyFill="1" applyBorder="1" applyAlignment="1">
      <alignment horizontal="center" vertical="center" textRotation="90" wrapText="1"/>
    </xf>
    <xf numFmtId="0" fontId="28" fillId="0" borderId="101" xfId="0" applyFont="1" applyFill="1" applyBorder="1" applyAlignment="1">
      <alignment horizontal="center" vertical="center" textRotation="90" wrapText="1"/>
    </xf>
    <xf numFmtId="0" fontId="14" fillId="0" borderId="70" xfId="0" applyFont="1" applyFill="1" applyBorder="1" applyAlignment="1">
      <alignment horizontal="center" vertical="center" textRotation="90" wrapText="1"/>
    </xf>
    <xf numFmtId="0" fontId="14" fillId="0" borderId="71" xfId="0" applyFont="1" applyFill="1" applyBorder="1" applyAlignment="1">
      <alignment horizontal="center" vertical="center" textRotation="90" wrapText="1"/>
    </xf>
    <xf numFmtId="0" fontId="14" fillId="0" borderId="5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95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wrapText="1"/>
    </xf>
    <xf numFmtId="0" fontId="6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84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84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69" xfId="0" applyFont="1" applyFill="1" applyBorder="1" applyAlignment="1">
      <alignment horizontal="center" vertical="center"/>
    </xf>
    <xf numFmtId="0" fontId="93" fillId="0" borderId="66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72" xfId="0" applyFont="1" applyBorder="1" applyAlignment="1">
      <alignment horizontal="center" vertical="center"/>
    </xf>
    <xf numFmtId="174" fontId="14" fillId="0" borderId="0" xfId="0" applyNumberFormat="1" applyFont="1" applyFill="1" applyBorder="1" applyAlignment="1">
      <alignment horizontal="center" vertical="center"/>
    </xf>
    <xf numFmtId="174" fontId="14" fillId="0" borderId="84" xfId="0" applyNumberFormat="1" applyFont="1" applyFill="1" applyBorder="1" applyAlignment="1">
      <alignment horizontal="center" vertical="center"/>
    </xf>
    <xf numFmtId="174" fontId="14" fillId="0" borderId="42" xfId="0" applyNumberFormat="1" applyFont="1" applyFill="1" applyBorder="1" applyAlignment="1">
      <alignment horizontal="center" vertical="center" wrapText="1"/>
    </xf>
    <xf numFmtId="174" fontId="14" fillId="0" borderId="81" xfId="0" applyNumberFormat="1" applyFont="1" applyFill="1" applyBorder="1" applyAlignment="1">
      <alignment horizontal="center" vertical="center" wrapText="1"/>
    </xf>
    <xf numFmtId="174" fontId="14" fillId="0" borderId="24" xfId="0" applyNumberFormat="1" applyFont="1" applyFill="1" applyBorder="1" applyAlignment="1">
      <alignment horizontal="center" vertical="center"/>
    </xf>
    <xf numFmtId="174" fontId="14" fillId="0" borderId="29" xfId="0" applyNumberFormat="1" applyFont="1" applyFill="1" applyBorder="1" applyAlignment="1">
      <alignment horizontal="center" vertical="center"/>
    </xf>
    <xf numFmtId="174" fontId="14" fillId="0" borderId="23" xfId="0" applyNumberFormat="1" applyFont="1" applyFill="1" applyBorder="1" applyAlignment="1">
      <alignment horizontal="center" vertical="center" wrapText="1"/>
    </xf>
    <xf numFmtId="174" fontId="6" fillId="0" borderId="26" xfId="0" applyNumberFormat="1" applyFont="1" applyFill="1" applyBorder="1" applyAlignment="1">
      <alignment horizontal="center" vertical="center"/>
    </xf>
    <xf numFmtId="174" fontId="6" fillId="0" borderId="3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6" fillId="0" borderId="99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174" fontId="6" fillId="0" borderId="42" xfId="0" applyNumberFormat="1" applyFont="1" applyFill="1" applyBorder="1" applyAlignment="1">
      <alignment horizontal="center" vertical="center" wrapText="1"/>
    </xf>
    <xf numFmtId="174" fontId="6" fillId="0" borderId="23" xfId="0" applyNumberFormat="1" applyFont="1" applyFill="1" applyBorder="1" applyAlignment="1">
      <alignment horizontal="center" vertical="center" wrapText="1"/>
    </xf>
    <xf numFmtId="174" fontId="6" fillId="0" borderId="81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9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" fillId="0" borderId="10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/>
    </xf>
    <xf numFmtId="0" fontId="3" fillId="0" borderId="0" xfId="56" applyFont="1" applyAlignment="1">
      <alignment horizontal="right" wrapText="1"/>
      <protection/>
    </xf>
    <xf numFmtId="0" fontId="3" fillId="0" borderId="0" xfId="56" applyFont="1" applyAlignment="1">
      <alignment horizontal="right"/>
      <protection/>
    </xf>
    <xf numFmtId="0" fontId="4" fillId="0" borderId="99" xfId="56" applyFont="1" applyBorder="1" applyAlignment="1">
      <alignment horizontal="center" vertical="center"/>
      <protection/>
    </xf>
    <xf numFmtId="0" fontId="4" fillId="0" borderId="64" xfId="56" applyFont="1" applyBorder="1" applyAlignment="1">
      <alignment horizontal="center" vertical="center"/>
      <protection/>
    </xf>
    <xf numFmtId="0" fontId="4" fillId="0" borderId="36" xfId="56" applyFont="1" applyBorder="1" applyAlignment="1">
      <alignment horizontal="center" vertical="center"/>
      <protection/>
    </xf>
    <xf numFmtId="0" fontId="4" fillId="0" borderId="102" xfId="56" applyFont="1" applyBorder="1" applyAlignment="1">
      <alignment horizontal="center" vertical="center"/>
      <protection/>
    </xf>
    <xf numFmtId="0" fontId="4" fillId="0" borderId="63" xfId="56" applyFont="1" applyBorder="1" applyAlignment="1">
      <alignment horizontal="center" vertical="center"/>
      <protection/>
    </xf>
    <xf numFmtId="0" fontId="4" fillId="0" borderId="50" xfId="56" applyFont="1" applyBorder="1" applyAlignment="1">
      <alignment horizontal="center" vertical="center"/>
      <protection/>
    </xf>
    <xf numFmtId="0" fontId="4" fillId="0" borderId="76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34" xfId="56" applyFont="1" applyBorder="1" applyAlignment="1">
      <alignment horizontal="center" vertical="center"/>
      <protection/>
    </xf>
    <xf numFmtId="0" fontId="4" fillId="0" borderId="76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4" fillId="0" borderId="34" xfId="56" applyFont="1" applyBorder="1" applyAlignment="1">
      <alignment horizontal="center" vertical="center" wrapText="1"/>
      <protection/>
    </xf>
    <xf numFmtId="0" fontId="3" fillId="0" borderId="54" xfId="56" applyFont="1" applyBorder="1" applyAlignment="1">
      <alignment horizontal="center" vertical="center"/>
      <protection/>
    </xf>
    <xf numFmtId="0" fontId="3" fillId="0" borderId="39" xfId="56" applyFont="1" applyBorder="1" applyAlignment="1">
      <alignment horizontal="center" vertical="center"/>
      <protection/>
    </xf>
    <xf numFmtId="0" fontId="3" fillId="0" borderId="57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 wrapText="1"/>
      <protection/>
    </xf>
    <xf numFmtId="0" fontId="4" fillId="0" borderId="84" xfId="56" applyFont="1" applyBorder="1" applyAlignment="1">
      <alignment horizontal="center" vertical="top"/>
      <protection/>
    </xf>
    <xf numFmtId="0" fontId="94" fillId="0" borderId="67" xfId="0" applyFont="1" applyFill="1" applyBorder="1" applyAlignment="1">
      <alignment horizontal="center" vertical="center"/>
    </xf>
    <xf numFmtId="0" fontId="94" fillId="0" borderId="7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94" fillId="0" borderId="66" xfId="0" applyFont="1" applyFill="1" applyBorder="1" applyAlignment="1">
      <alignment horizontal="center" vertical="center"/>
    </xf>
    <xf numFmtId="0" fontId="94" fillId="0" borderId="72" xfId="0" applyFont="1" applyFill="1" applyBorder="1" applyAlignment="1">
      <alignment horizontal="center" vertical="center"/>
    </xf>
    <xf numFmtId="0" fontId="94" fillId="0" borderId="103" xfId="0" applyFont="1" applyFill="1" applyBorder="1" applyAlignment="1">
      <alignment horizontal="center" vertical="center"/>
    </xf>
    <xf numFmtId="0" fontId="94" fillId="0" borderId="49" xfId="0" applyFont="1" applyFill="1" applyBorder="1" applyAlignment="1">
      <alignment horizontal="center" vertical="center"/>
    </xf>
    <xf numFmtId="0" fontId="94" fillId="0" borderId="78" xfId="0" applyFont="1" applyFill="1" applyBorder="1" applyAlignment="1">
      <alignment horizontal="center" vertical="center"/>
    </xf>
    <xf numFmtId="0" fontId="94" fillId="0" borderId="75" xfId="0" applyFont="1" applyFill="1" applyBorder="1" applyAlignment="1">
      <alignment horizontal="center" vertical="center"/>
    </xf>
    <xf numFmtId="0" fontId="94" fillId="0" borderId="79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95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5" fillId="0" borderId="30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 textRotation="90" wrapText="1"/>
    </xf>
    <xf numFmtId="0" fontId="14" fillId="0" borderId="73" xfId="0" applyFont="1" applyFill="1" applyBorder="1" applyAlignment="1">
      <alignment horizontal="center" vertical="center" textRotation="90" wrapText="1"/>
    </xf>
    <xf numFmtId="0" fontId="14" fillId="0" borderId="104" xfId="0" applyFont="1" applyFill="1" applyBorder="1" applyAlignment="1">
      <alignment horizontal="center" vertical="center" wrapText="1"/>
    </xf>
    <xf numFmtId="172" fontId="12" fillId="0" borderId="67" xfId="0" applyNumberFormat="1" applyFont="1" applyFill="1" applyBorder="1" applyAlignment="1">
      <alignment vertical="center"/>
    </xf>
    <xf numFmtId="172" fontId="12" fillId="0" borderId="69" xfId="0" applyNumberFormat="1" applyFont="1" applyFill="1" applyBorder="1" applyAlignment="1">
      <alignment vertical="center"/>
    </xf>
    <xf numFmtId="172" fontId="0" fillId="0" borderId="40" xfId="0" applyNumberFormat="1" applyFill="1" applyBorder="1" applyAlignment="1">
      <alignment/>
    </xf>
    <xf numFmtId="172" fontId="14" fillId="0" borderId="37" xfId="0" applyNumberFormat="1" applyFont="1" applyFill="1" applyBorder="1" applyAlignment="1">
      <alignment horizontal="righ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 2" xfId="54"/>
    <cellStyle name="Обычный 2 3 2 4" xfId="55"/>
    <cellStyle name="Обычный_мусоропроводы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2:U162"/>
  <sheetViews>
    <sheetView zoomScale="110" zoomScaleNormal="110" zoomScalePageLayoutView="0" workbookViewId="0" topLeftCell="A70">
      <selection activeCell="Y26" sqref="Y26"/>
    </sheetView>
  </sheetViews>
  <sheetFormatPr defaultColWidth="9.00390625" defaultRowHeight="12.75"/>
  <cols>
    <col min="1" max="1" width="4.125" style="0" customWidth="1"/>
    <col min="2" max="2" width="43.625" style="0" customWidth="1"/>
    <col min="4" max="4" width="10.625" style="0" customWidth="1"/>
    <col min="5" max="5" width="6.625" style="0" customWidth="1"/>
    <col min="6" max="6" width="6.00390625" style="0" customWidth="1"/>
    <col min="7" max="7" width="7.25390625" style="0" customWidth="1"/>
    <col min="8" max="8" width="13.375" style="0" customWidth="1"/>
    <col min="9" max="9" width="13.00390625" style="0" customWidth="1"/>
    <col min="10" max="10" width="9.625" style="0" customWidth="1"/>
    <col min="11" max="11" width="6.125" style="0" customWidth="1"/>
    <col min="12" max="12" width="5.625" style="0" customWidth="1"/>
    <col min="13" max="13" width="7.00390625" style="0" customWidth="1"/>
    <col min="14" max="14" width="7.25390625" style="0" customWidth="1"/>
    <col min="15" max="15" width="8.00390625" style="0" customWidth="1"/>
    <col min="16" max="16" width="7.875" style="0" customWidth="1"/>
    <col min="17" max="17" width="7.00390625" style="0" customWidth="1"/>
    <col min="18" max="18" width="6.75390625" style="0" customWidth="1"/>
    <col min="19" max="20" width="7.00390625" style="0" customWidth="1"/>
    <col min="21" max="21" width="16.75390625" style="0" customWidth="1"/>
    <col min="22" max="23" width="9.125" style="0" customWidth="1"/>
  </cols>
  <sheetData>
    <row r="1" ht="6.75" customHeight="1"/>
    <row r="2" spans="1:20" ht="15.75">
      <c r="A2" s="45"/>
      <c r="B2" s="45" t="s">
        <v>135</v>
      </c>
      <c r="C2" s="42"/>
      <c r="D2" s="146"/>
      <c r="E2" s="146"/>
      <c r="F2" s="147"/>
      <c r="G2" s="147"/>
      <c r="H2" s="147"/>
      <c r="I2" s="147"/>
      <c r="J2" s="147"/>
      <c r="K2" s="146"/>
      <c r="L2" s="147"/>
      <c r="M2" s="44"/>
      <c r="N2" s="1380"/>
      <c r="O2" s="42"/>
      <c r="P2" s="42"/>
      <c r="Q2" s="42"/>
      <c r="R2" s="42"/>
      <c r="S2" s="42"/>
      <c r="T2" s="1380" t="s">
        <v>133</v>
      </c>
    </row>
    <row r="3" spans="1:20" ht="15.75">
      <c r="A3" s="43"/>
      <c r="B3" s="45" t="s">
        <v>375</v>
      </c>
      <c r="C3" s="42"/>
      <c r="D3" s="146"/>
      <c r="E3" s="146"/>
      <c r="F3" s="147"/>
      <c r="G3" s="148"/>
      <c r="H3" s="148"/>
      <c r="I3" s="148"/>
      <c r="J3" s="148"/>
      <c r="K3" s="146"/>
      <c r="L3" s="147"/>
      <c r="M3" s="44"/>
      <c r="N3" s="1380"/>
      <c r="O3" s="42"/>
      <c r="P3" s="42"/>
      <c r="Q3" s="42"/>
      <c r="R3" s="42"/>
      <c r="S3" s="42"/>
      <c r="T3" s="1380" t="s">
        <v>136</v>
      </c>
    </row>
    <row r="4" spans="1:20" ht="15.75">
      <c r="A4" s="43"/>
      <c r="B4" s="45" t="s">
        <v>376</v>
      </c>
      <c r="C4" s="42"/>
      <c r="D4" s="146"/>
      <c r="E4" s="146"/>
      <c r="F4" s="147"/>
      <c r="G4" s="147"/>
      <c r="H4" s="147"/>
      <c r="I4" s="147"/>
      <c r="J4" s="147"/>
      <c r="K4" s="146"/>
      <c r="L4" s="147"/>
      <c r="M4" s="44"/>
      <c r="N4" s="1380"/>
      <c r="O4" s="42"/>
      <c r="P4" s="42"/>
      <c r="Q4" s="42"/>
      <c r="R4" s="42"/>
      <c r="S4" s="42"/>
      <c r="T4" s="1380" t="s">
        <v>137</v>
      </c>
    </row>
    <row r="5" spans="1:20" ht="15.75">
      <c r="A5" s="43"/>
      <c r="B5" s="45" t="s">
        <v>377</v>
      </c>
      <c r="C5" s="42"/>
      <c r="D5" s="146"/>
      <c r="E5" s="146"/>
      <c r="F5" s="147"/>
      <c r="G5" s="147"/>
      <c r="H5" s="147"/>
      <c r="I5" s="147"/>
      <c r="J5" s="147"/>
      <c r="K5" s="146"/>
      <c r="L5" s="147"/>
      <c r="M5" s="44"/>
      <c r="N5" s="1380"/>
      <c r="O5" s="42"/>
      <c r="P5" s="42"/>
      <c r="Q5" s="42"/>
      <c r="R5" s="42"/>
      <c r="S5" s="42"/>
      <c r="T5" s="1380" t="s">
        <v>134</v>
      </c>
    </row>
    <row r="6" spans="1:20" ht="15.75">
      <c r="A6" s="43"/>
      <c r="B6" s="54" t="s">
        <v>138</v>
      </c>
      <c r="C6" s="42"/>
      <c r="D6" s="146"/>
      <c r="E6" s="146"/>
      <c r="F6" s="147"/>
      <c r="G6" s="147"/>
      <c r="H6" s="147"/>
      <c r="I6" s="147"/>
      <c r="J6" s="147"/>
      <c r="K6" s="146"/>
      <c r="L6" s="147"/>
      <c r="M6" s="43"/>
      <c r="N6" s="1380"/>
      <c r="O6" s="42"/>
      <c r="P6" s="42"/>
      <c r="Q6" s="42"/>
      <c r="R6" s="42"/>
      <c r="S6" s="42"/>
      <c r="T6" s="1380" t="s">
        <v>284</v>
      </c>
    </row>
    <row r="7" spans="1:20" ht="17.25" customHeight="1">
      <c r="A7" s="43"/>
      <c r="B7" s="42"/>
      <c r="C7" s="42"/>
      <c r="D7" s="146"/>
      <c r="E7" s="146"/>
      <c r="F7" s="147"/>
      <c r="G7" s="147"/>
      <c r="H7" s="147"/>
      <c r="I7" s="147"/>
      <c r="J7" s="147"/>
      <c r="K7" s="146"/>
      <c r="L7" s="147"/>
      <c r="M7" s="44"/>
      <c r="N7" s="1380"/>
      <c r="O7" s="146"/>
      <c r="P7" s="147"/>
      <c r="Q7" s="146"/>
      <c r="R7" s="146"/>
      <c r="S7" s="146"/>
      <c r="T7" s="1380" t="s">
        <v>381</v>
      </c>
    </row>
    <row r="8" spans="1:20" ht="19.5" thickBot="1">
      <c r="A8" s="149" t="s">
        <v>889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42"/>
      <c r="R8" s="42" t="s">
        <v>877</v>
      </c>
      <c r="S8" s="42"/>
      <c r="T8" s="42"/>
    </row>
    <row r="9" spans="1:20" ht="17.25" customHeight="1" thickBot="1">
      <c r="A9" s="1495" t="s">
        <v>139</v>
      </c>
      <c r="B9" s="1545" t="s">
        <v>140</v>
      </c>
      <c r="C9" s="1545" t="s">
        <v>141</v>
      </c>
      <c r="D9" s="1547" t="s">
        <v>807</v>
      </c>
      <c r="E9" s="1558" t="s">
        <v>285</v>
      </c>
      <c r="F9" s="1559"/>
      <c r="G9" s="1559"/>
      <c r="H9" s="1559"/>
      <c r="I9" s="1559"/>
      <c r="J9" s="1559"/>
      <c r="K9" s="1559"/>
      <c r="L9" s="1559"/>
      <c r="M9" s="1559"/>
      <c r="N9" s="1560" t="s">
        <v>286</v>
      </c>
      <c r="O9" s="1561"/>
      <c r="P9" s="1562"/>
      <c r="Q9" s="1552" t="s">
        <v>287</v>
      </c>
      <c r="R9" s="1552"/>
      <c r="S9" s="1554" t="s">
        <v>288</v>
      </c>
      <c r="T9" s="1555"/>
    </row>
    <row r="10" spans="1:20" ht="59.25" customHeight="1" thickBot="1">
      <c r="A10" s="1487"/>
      <c r="B10" s="1546"/>
      <c r="C10" s="1546"/>
      <c r="D10" s="1548"/>
      <c r="E10" s="1566" t="s">
        <v>289</v>
      </c>
      <c r="F10" s="1567"/>
      <c r="G10" s="1568"/>
      <c r="H10" s="1542" t="s">
        <v>290</v>
      </c>
      <c r="I10" s="1543"/>
      <c r="J10" s="1543"/>
      <c r="K10" s="1542" t="s">
        <v>291</v>
      </c>
      <c r="L10" s="1543"/>
      <c r="M10" s="1544"/>
      <c r="N10" s="1563"/>
      <c r="O10" s="1564"/>
      <c r="P10" s="1565"/>
      <c r="Q10" s="1553"/>
      <c r="R10" s="1553"/>
      <c r="S10" s="1556"/>
      <c r="T10" s="1557"/>
    </row>
    <row r="11" spans="1:20" ht="15.75" customHeight="1" thickBot="1">
      <c r="A11" s="1487"/>
      <c r="B11" s="1546"/>
      <c r="C11" s="1546"/>
      <c r="D11" s="1548"/>
      <c r="E11" s="153" t="s">
        <v>142</v>
      </c>
      <c r="F11" s="154" t="s">
        <v>143</v>
      </c>
      <c r="G11" s="154" t="s">
        <v>144</v>
      </c>
      <c r="H11" s="153" t="s">
        <v>142</v>
      </c>
      <c r="I11" s="154" t="s">
        <v>143</v>
      </c>
      <c r="J11" s="154" t="s">
        <v>144</v>
      </c>
      <c r="K11" s="153" t="s">
        <v>142</v>
      </c>
      <c r="L11" s="154" t="s">
        <v>143</v>
      </c>
      <c r="M11" s="154" t="s">
        <v>144</v>
      </c>
      <c r="N11" s="153" t="s">
        <v>103</v>
      </c>
      <c r="O11" s="154" t="s">
        <v>143</v>
      </c>
      <c r="P11" s="154" t="s">
        <v>144</v>
      </c>
      <c r="Q11" s="155" t="s">
        <v>103</v>
      </c>
      <c r="R11" s="156" t="s">
        <v>292</v>
      </c>
      <c r="S11" s="153" t="s">
        <v>103</v>
      </c>
      <c r="T11" s="157" t="s">
        <v>292</v>
      </c>
    </row>
    <row r="12" spans="1:20" ht="13.5" thickBot="1">
      <c r="A12" s="283" t="s">
        <v>145</v>
      </c>
      <c r="B12" s="284" t="s">
        <v>146</v>
      </c>
      <c r="C12" s="285" t="s">
        <v>93</v>
      </c>
      <c r="D12" s="286">
        <f>H12</f>
        <v>27366.202900999997</v>
      </c>
      <c r="E12" s="160"/>
      <c r="F12" s="287"/>
      <c r="G12" s="161"/>
      <c r="H12" s="288">
        <f>I12+J12</f>
        <v>27366.202900999997</v>
      </c>
      <c r="I12" s="289">
        <f>I15+I22+I33+I35+I38+I40+I42+I44+I46+I48+I50+I52+I54+I56+I58+I60+I62+I64+I66+I68+I70</f>
        <v>20663.092082999996</v>
      </c>
      <c r="J12" s="290">
        <f>J15+J22+J33+J35+J38+J40+J42+J44+J46+J48+J50+J52+J54+J56+J58+J60+J62+J64+J66+J68+J70</f>
        <v>6703.110817999999</v>
      </c>
      <c r="K12" s="160"/>
      <c r="L12" s="287"/>
      <c r="M12" s="161"/>
      <c r="N12" s="160"/>
      <c r="O12" s="287"/>
      <c r="P12" s="161"/>
      <c r="Q12" s="158"/>
      <c r="R12" s="159"/>
      <c r="S12" s="160"/>
      <c r="T12" s="161"/>
    </row>
    <row r="13" spans="1:20" ht="12.75">
      <c r="A13" s="1540">
        <v>1</v>
      </c>
      <c r="B13" s="715" t="s">
        <v>147</v>
      </c>
      <c r="C13" s="833" t="s">
        <v>155</v>
      </c>
      <c r="D13" s="292">
        <f>H13</f>
        <v>51</v>
      </c>
      <c r="E13" s="164"/>
      <c r="F13" s="293"/>
      <c r="G13" s="165"/>
      <c r="H13" s="294">
        <f aca="true" t="shared" si="0" ref="H13:H19">I13+J13</f>
        <v>51</v>
      </c>
      <c r="I13" s="295">
        <v>0</v>
      </c>
      <c r="J13" s="296">
        <v>51</v>
      </c>
      <c r="K13" s="164"/>
      <c r="L13" s="293"/>
      <c r="M13" s="165"/>
      <c r="N13" s="164"/>
      <c r="O13" s="293"/>
      <c r="P13" s="165"/>
      <c r="Q13" s="162"/>
      <c r="R13" s="163"/>
      <c r="S13" s="164"/>
      <c r="T13" s="165"/>
    </row>
    <row r="14" spans="1:20" ht="12.75">
      <c r="A14" s="1540"/>
      <c r="B14" s="716"/>
      <c r="C14" s="297" t="s">
        <v>148</v>
      </c>
      <c r="D14" s="298">
        <f>H14</f>
        <v>0.722</v>
      </c>
      <c r="E14" s="168"/>
      <c r="F14" s="299"/>
      <c r="G14" s="169"/>
      <c r="H14" s="300">
        <f t="shared" si="0"/>
        <v>0.722</v>
      </c>
      <c r="I14" s="301">
        <f>I16+I18</f>
        <v>0</v>
      </c>
      <c r="J14" s="302">
        <f>J16+J18</f>
        <v>0.722</v>
      </c>
      <c r="K14" s="168"/>
      <c r="L14" s="299"/>
      <c r="M14" s="169"/>
      <c r="N14" s="168"/>
      <c r="O14" s="299"/>
      <c r="P14" s="169"/>
      <c r="Q14" s="166"/>
      <c r="R14" s="167"/>
      <c r="S14" s="168"/>
      <c r="T14" s="169"/>
    </row>
    <row r="15" spans="1:20" ht="12.75">
      <c r="A15" s="1541"/>
      <c r="B15" s="550" t="s">
        <v>149</v>
      </c>
      <c r="C15" s="297" t="s">
        <v>93</v>
      </c>
      <c r="D15" s="303">
        <f>H15</f>
        <v>599.5249</v>
      </c>
      <c r="E15" s="168"/>
      <c r="F15" s="299"/>
      <c r="G15" s="169"/>
      <c r="H15" s="304">
        <f>I15+J15</f>
        <v>599.5249</v>
      </c>
      <c r="I15" s="305">
        <f>I17+I19+I20</f>
        <v>0</v>
      </c>
      <c r="J15" s="302">
        <f>J17+J19+J20</f>
        <v>599.5249</v>
      </c>
      <c r="K15" s="168"/>
      <c r="L15" s="299"/>
      <c r="M15" s="169"/>
      <c r="N15" s="168"/>
      <c r="O15" s="299"/>
      <c r="P15" s="169"/>
      <c r="Q15" s="166"/>
      <c r="R15" s="167"/>
      <c r="S15" s="168"/>
      <c r="T15" s="169"/>
    </row>
    <row r="16" spans="1:20" ht="12.75">
      <c r="A16" s="1521" t="s">
        <v>150</v>
      </c>
      <c r="B16" s="1522" t="s">
        <v>151</v>
      </c>
      <c r="C16" s="306" t="s">
        <v>148</v>
      </c>
      <c r="D16" s="307">
        <f aca="true" t="shared" si="1" ref="D16:D79">H16</f>
        <v>0.342</v>
      </c>
      <c r="E16" s="308"/>
      <c r="F16" s="309"/>
      <c r="G16" s="173"/>
      <c r="H16" s="1286">
        <f t="shared" si="0"/>
        <v>0.342</v>
      </c>
      <c r="I16" s="311">
        <v>0</v>
      </c>
      <c r="J16" s="312">
        <v>0.342</v>
      </c>
      <c r="K16" s="308"/>
      <c r="L16" s="309"/>
      <c r="M16" s="173"/>
      <c r="N16" s="172"/>
      <c r="O16" s="313"/>
      <c r="P16" s="173"/>
      <c r="Q16" s="170"/>
      <c r="R16" s="171"/>
      <c r="S16" s="172"/>
      <c r="T16" s="173"/>
    </row>
    <row r="17" spans="1:20" ht="12.75">
      <c r="A17" s="1521"/>
      <c r="B17" s="1522"/>
      <c r="C17" s="306" t="s">
        <v>93</v>
      </c>
      <c r="D17" s="307">
        <f t="shared" si="1"/>
        <v>244.67945</v>
      </c>
      <c r="E17" s="308"/>
      <c r="F17" s="309"/>
      <c r="G17" s="173"/>
      <c r="H17" s="1286">
        <f t="shared" si="0"/>
        <v>244.67945</v>
      </c>
      <c r="I17" s="314">
        <v>0</v>
      </c>
      <c r="J17" s="312">
        <v>244.67945</v>
      </c>
      <c r="K17" s="308"/>
      <c r="L17" s="309"/>
      <c r="M17" s="173"/>
      <c r="N17" s="172"/>
      <c r="O17" s="313"/>
      <c r="P17" s="173"/>
      <c r="Q17" s="170"/>
      <c r="R17" s="171"/>
      <c r="S17" s="172"/>
      <c r="T17" s="173"/>
    </row>
    <row r="18" spans="1:20" ht="12.75">
      <c r="A18" s="1521" t="s">
        <v>152</v>
      </c>
      <c r="B18" s="1522" t="s">
        <v>153</v>
      </c>
      <c r="C18" s="306" t="s">
        <v>148</v>
      </c>
      <c r="D18" s="307">
        <f t="shared" si="1"/>
        <v>0.38</v>
      </c>
      <c r="E18" s="308"/>
      <c r="F18" s="309"/>
      <c r="G18" s="173"/>
      <c r="H18" s="1286">
        <f t="shared" si="0"/>
        <v>0.38</v>
      </c>
      <c r="I18" s="311">
        <v>0</v>
      </c>
      <c r="J18" s="312">
        <v>0.38</v>
      </c>
      <c r="K18" s="308"/>
      <c r="L18" s="309"/>
      <c r="M18" s="173"/>
      <c r="N18" s="172"/>
      <c r="O18" s="313"/>
      <c r="P18" s="173"/>
      <c r="Q18" s="170"/>
      <c r="R18" s="171"/>
      <c r="S18" s="172"/>
      <c r="T18" s="173"/>
    </row>
    <row r="19" spans="1:20" ht="12.75">
      <c r="A19" s="1521"/>
      <c r="B19" s="1522"/>
      <c r="C19" s="306" t="s">
        <v>93</v>
      </c>
      <c r="D19" s="307">
        <f t="shared" si="1"/>
        <v>354.84545</v>
      </c>
      <c r="E19" s="308"/>
      <c r="F19" s="309"/>
      <c r="G19" s="173"/>
      <c r="H19" s="1286">
        <f t="shared" si="0"/>
        <v>354.84545</v>
      </c>
      <c r="I19" s="314">
        <v>0</v>
      </c>
      <c r="J19" s="315">
        <v>354.84545</v>
      </c>
      <c r="K19" s="308"/>
      <c r="L19" s="309"/>
      <c r="M19" s="173"/>
      <c r="N19" s="172"/>
      <c r="O19" s="313"/>
      <c r="P19" s="173"/>
      <c r="Q19" s="170"/>
      <c r="R19" s="171"/>
      <c r="S19" s="172"/>
      <c r="T19" s="173"/>
    </row>
    <row r="20" spans="1:20" ht="16.5" customHeight="1" thickBot="1">
      <c r="A20" s="316" t="s">
        <v>293</v>
      </c>
      <c r="B20" s="551" t="s">
        <v>378</v>
      </c>
      <c r="C20" s="317" t="s">
        <v>93</v>
      </c>
      <c r="D20" s="318">
        <f t="shared" si="1"/>
        <v>0</v>
      </c>
      <c r="E20" s="319"/>
      <c r="F20" s="320"/>
      <c r="G20" s="177"/>
      <c r="H20" s="1287">
        <f>I20+J20</f>
        <v>0</v>
      </c>
      <c r="I20" s="295">
        <v>0</v>
      </c>
      <c r="J20" s="296">
        <v>0</v>
      </c>
      <c r="K20" s="319"/>
      <c r="L20" s="320"/>
      <c r="M20" s="177"/>
      <c r="N20" s="176"/>
      <c r="O20" s="321"/>
      <c r="P20" s="177"/>
      <c r="Q20" s="174"/>
      <c r="R20" s="175"/>
      <c r="S20" s="176"/>
      <c r="T20" s="177"/>
    </row>
    <row r="21" spans="1:20" ht="15.75" customHeight="1">
      <c r="A21" s="1549" t="s">
        <v>154</v>
      </c>
      <c r="B21" s="1550" t="s">
        <v>294</v>
      </c>
      <c r="C21" s="1277" t="s">
        <v>155</v>
      </c>
      <c r="D21" s="383">
        <f t="shared" si="1"/>
        <v>37</v>
      </c>
      <c r="E21" s="1278"/>
      <c r="F21" s="1279"/>
      <c r="G21" s="1280"/>
      <c r="H21" s="1281">
        <f aca="true" t="shared" si="2" ref="H21:H46">I21+J21</f>
        <v>37</v>
      </c>
      <c r="I21" s="1282">
        <v>37</v>
      </c>
      <c r="J21" s="1283">
        <v>0</v>
      </c>
      <c r="K21" s="180"/>
      <c r="L21" s="323"/>
      <c r="M21" s="181"/>
      <c r="N21" s="180"/>
      <c r="O21" s="323"/>
      <c r="P21" s="181"/>
      <c r="Q21" s="178"/>
      <c r="R21" s="179"/>
      <c r="S21" s="180"/>
      <c r="T21" s="181"/>
    </row>
    <row r="22" spans="1:20" ht="15" customHeight="1">
      <c r="A22" s="1538"/>
      <c r="B22" s="1551"/>
      <c r="C22" s="327" t="s">
        <v>93</v>
      </c>
      <c r="D22" s="303">
        <f t="shared" si="1"/>
        <v>332.125</v>
      </c>
      <c r="E22" s="168"/>
      <c r="F22" s="299"/>
      <c r="G22" s="169"/>
      <c r="H22" s="328">
        <f t="shared" si="2"/>
        <v>332.125</v>
      </c>
      <c r="I22" s="329">
        <f>I24+I26+I28+I30+I31</f>
        <v>332.125</v>
      </c>
      <c r="J22" s="330">
        <f>J24+J26+J28+J30+J31</f>
        <v>0</v>
      </c>
      <c r="K22" s="168"/>
      <c r="L22" s="299"/>
      <c r="M22" s="169"/>
      <c r="N22" s="168"/>
      <c r="O22" s="299"/>
      <c r="P22" s="169"/>
      <c r="Q22" s="166"/>
      <c r="R22" s="167"/>
      <c r="S22" s="168"/>
      <c r="T22" s="169"/>
    </row>
    <row r="23" spans="1:20" ht="12.75">
      <c r="A23" s="1538" t="s">
        <v>156</v>
      </c>
      <c r="B23" s="1539" t="s">
        <v>157</v>
      </c>
      <c r="C23" s="306" t="s">
        <v>158</v>
      </c>
      <c r="D23" s="307">
        <f t="shared" si="1"/>
        <v>0</v>
      </c>
      <c r="E23" s="308"/>
      <c r="F23" s="309"/>
      <c r="G23" s="173"/>
      <c r="H23" s="331">
        <f t="shared" si="2"/>
        <v>0</v>
      </c>
      <c r="I23" s="332">
        <v>0</v>
      </c>
      <c r="J23" s="333">
        <v>0</v>
      </c>
      <c r="K23" s="172"/>
      <c r="L23" s="313"/>
      <c r="M23" s="173"/>
      <c r="N23" s="172"/>
      <c r="O23" s="313"/>
      <c r="P23" s="173"/>
      <c r="Q23" s="182"/>
      <c r="R23" s="171"/>
      <c r="S23" s="172"/>
      <c r="T23" s="173"/>
    </row>
    <row r="24" spans="1:20" ht="12.75">
      <c r="A24" s="1538"/>
      <c r="B24" s="1539"/>
      <c r="C24" s="306" t="s">
        <v>93</v>
      </c>
      <c r="D24" s="307">
        <f t="shared" si="1"/>
        <v>0</v>
      </c>
      <c r="E24" s="308"/>
      <c r="F24" s="309"/>
      <c r="G24" s="173"/>
      <c r="H24" s="310">
        <f t="shared" si="2"/>
        <v>0</v>
      </c>
      <c r="I24" s="314">
        <v>0</v>
      </c>
      <c r="J24" s="315">
        <v>0</v>
      </c>
      <c r="K24" s="172"/>
      <c r="L24" s="313"/>
      <c r="M24" s="173"/>
      <c r="N24" s="172"/>
      <c r="O24" s="313"/>
      <c r="P24" s="173"/>
      <c r="Q24" s="182"/>
      <c r="R24" s="171"/>
      <c r="S24" s="172"/>
      <c r="T24" s="173"/>
    </row>
    <row r="25" spans="1:20" ht="16.5" customHeight="1">
      <c r="A25" s="1538" t="s">
        <v>159</v>
      </c>
      <c r="B25" s="1539" t="s">
        <v>295</v>
      </c>
      <c r="C25" s="306" t="s">
        <v>160</v>
      </c>
      <c r="D25" s="307">
        <f t="shared" si="1"/>
        <v>588</v>
      </c>
      <c r="E25" s="308"/>
      <c r="F25" s="309"/>
      <c r="G25" s="173"/>
      <c r="H25" s="310">
        <f t="shared" si="2"/>
        <v>588</v>
      </c>
      <c r="I25" s="314">
        <v>588</v>
      </c>
      <c r="J25" s="315">
        <v>0</v>
      </c>
      <c r="K25" s="172"/>
      <c r="L25" s="313"/>
      <c r="M25" s="173"/>
      <c r="N25" s="172"/>
      <c r="O25" s="313"/>
      <c r="P25" s="173"/>
      <c r="Q25" s="182"/>
      <c r="R25" s="171"/>
      <c r="S25" s="172"/>
      <c r="T25" s="173"/>
    </row>
    <row r="26" spans="1:20" ht="16.5" customHeight="1">
      <c r="A26" s="1538"/>
      <c r="B26" s="1539"/>
      <c r="C26" s="306" t="s">
        <v>93</v>
      </c>
      <c r="D26" s="307">
        <f t="shared" si="1"/>
        <v>111.72</v>
      </c>
      <c r="E26" s="308"/>
      <c r="F26" s="309"/>
      <c r="G26" s="173"/>
      <c r="H26" s="310">
        <f t="shared" si="2"/>
        <v>111.72</v>
      </c>
      <c r="I26" s="314">
        <v>111.72</v>
      </c>
      <c r="J26" s="315">
        <v>0</v>
      </c>
      <c r="K26" s="172"/>
      <c r="L26" s="313"/>
      <c r="M26" s="173"/>
      <c r="N26" s="172"/>
      <c r="O26" s="313"/>
      <c r="P26" s="173"/>
      <c r="Q26" s="182"/>
      <c r="R26" s="171"/>
      <c r="S26" s="172"/>
      <c r="T26" s="173"/>
    </row>
    <row r="27" spans="1:20" ht="15" customHeight="1">
      <c r="A27" s="1538" t="s">
        <v>161</v>
      </c>
      <c r="B27" s="1539" t="s">
        <v>40</v>
      </c>
      <c r="C27" s="306" t="s">
        <v>160</v>
      </c>
      <c r="D27" s="307">
        <f t="shared" si="1"/>
        <v>0</v>
      </c>
      <c r="E27" s="308"/>
      <c r="F27" s="309"/>
      <c r="G27" s="173"/>
      <c r="H27" s="310">
        <f t="shared" si="2"/>
        <v>0</v>
      </c>
      <c r="I27" s="314">
        <v>0</v>
      </c>
      <c r="J27" s="315">
        <v>0</v>
      </c>
      <c r="K27" s="172"/>
      <c r="L27" s="313"/>
      <c r="M27" s="173"/>
      <c r="N27" s="172"/>
      <c r="O27" s="313"/>
      <c r="P27" s="173"/>
      <c r="Q27" s="182"/>
      <c r="R27" s="171"/>
      <c r="S27" s="172"/>
      <c r="T27" s="173"/>
    </row>
    <row r="28" spans="1:20" ht="15" customHeight="1">
      <c r="A28" s="1538"/>
      <c r="B28" s="1539"/>
      <c r="C28" s="306" t="s">
        <v>93</v>
      </c>
      <c r="D28" s="307">
        <f t="shared" si="1"/>
        <v>0</v>
      </c>
      <c r="E28" s="308"/>
      <c r="F28" s="309"/>
      <c r="G28" s="173"/>
      <c r="H28" s="310">
        <f t="shared" si="2"/>
        <v>0</v>
      </c>
      <c r="I28" s="314">
        <v>0</v>
      </c>
      <c r="J28" s="315">
        <v>0</v>
      </c>
      <c r="K28" s="172"/>
      <c r="L28" s="313"/>
      <c r="M28" s="173"/>
      <c r="N28" s="172"/>
      <c r="O28" s="313"/>
      <c r="P28" s="173"/>
      <c r="Q28" s="182"/>
      <c r="R28" s="171"/>
      <c r="S28" s="172"/>
      <c r="T28" s="173"/>
    </row>
    <row r="29" spans="1:20" ht="12" customHeight="1">
      <c r="A29" s="1538" t="s">
        <v>162</v>
      </c>
      <c r="B29" s="1539" t="s">
        <v>163</v>
      </c>
      <c r="C29" s="306" t="s">
        <v>104</v>
      </c>
      <c r="D29" s="307">
        <f t="shared" si="1"/>
        <v>24</v>
      </c>
      <c r="E29" s="308"/>
      <c r="F29" s="309"/>
      <c r="G29" s="173"/>
      <c r="H29" s="310">
        <f t="shared" si="2"/>
        <v>24</v>
      </c>
      <c r="I29" s="314">
        <v>24</v>
      </c>
      <c r="J29" s="315">
        <v>0</v>
      </c>
      <c r="K29" s="172"/>
      <c r="L29" s="313"/>
      <c r="M29" s="173"/>
      <c r="N29" s="172"/>
      <c r="O29" s="313"/>
      <c r="P29" s="173"/>
      <c r="Q29" s="182"/>
      <c r="R29" s="171"/>
      <c r="S29" s="172"/>
      <c r="T29" s="173"/>
    </row>
    <row r="30" spans="1:20" ht="12.75">
      <c r="A30" s="1538"/>
      <c r="B30" s="1539"/>
      <c r="C30" s="306" t="s">
        <v>93</v>
      </c>
      <c r="D30" s="307">
        <f t="shared" si="1"/>
        <v>10.102</v>
      </c>
      <c r="E30" s="308"/>
      <c r="F30" s="309"/>
      <c r="G30" s="173"/>
      <c r="H30" s="310">
        <f t="shared" si="2"/>
        <v>10.102</v>
      </c>
      <c r="I30" s="314">
        <v>10.102</v>
      </c>
      <c r="J30" s="315">
        <v>0</v>
      </c>
      <c r="K30" s="172"/>
      <c r="L30" s="313"/>
      <c r="M30" s="173"/>
      <c r="N30" s="172"/>
      <c r="O30" s="313"/>
      <c r="P30" s="173"/>
      <c r="Q30" s="182"/>
      <c r="R30" s="171"/>
      <c r="S30" s="172"/>
      <c r="T30" s="173"/>
    </row>
    <row r="31" spans="1:20" ht="26.25" thickBot="1">
      <c r="A31" s="334" t="s">
        <v>164</v>
      </c>
      <c r="B31" s="552" t="s">
        <v>165</v>
      </c>
      <c r="C31" s="721" t="s">
        <v>93</v>
      </c>
      <c r="D31" s="365">
        <f t="shared" si="1"/>
        <v>210.303</v>
      </c>
      <c r="E31" s="366"/>
      <c r="F31" s="367"/>
      <c r="G31" s="223"/>
      <c r="H31" s="722">
        <f t="shared" si="2"/>
        <v>210.303</v>
      </c>
      <c r="I31" s="723">
        <v>210.303</v>
      </c>
      <c r="J31" s="724">
        <v>0</v>
      </c>
      <c r="K31" s="185"/>
      <c r="L31" s="340"/>
      <c r="M31" s="186"/>
      <c r="N31" s="185"/>
      <c r="O31" s="340"/>
      <c r="P31" s="186"/>
      <c r="Q31" s="183"/>
      <c r="R31" s="184"/>
      <c r="S31" s="185"/>
      <c r="T31" s="186"/>
    </row>
    <row r="32" spans="1:20" ht="12.75">
      <c r="A32" s="1509" t="s">
        <v>111</v>
      </c>
      <c r="B32" s="1533" t="s">
        <v>296</v>
      </c>
      <c r="C32" s="341" t="s">
        <v>166</v>
      </c>
      <c r="D32" s="322">
        <f t="shared" si="1"/>
        <v>2.88</v>
      </c>
      <c r="E32" s="202"/>
      <c r="F32" s="291"/>
      <c r="G32" s="190"/>
      <c r="H32" s="1288">
        <f t="shared" si="2"/>
        <v>2.88</v>
      </c>
      <c r="I32" s="325">
        <v>0</v>
      </c>
      <c r="J32" s="325">
        <v>2.88</v>
      </c>
      <c r="K32" s="202"/>
      <c r="L32" s="291"/>
      <c r="M32" s="190"/>
      <c r="N32" s="189"/>
      <c r="O32" s="342"/>
      <c r="P32" s="190"/>
      <c r="Q32" s="187"/>
      <c r="R32" s="188"/>
      <c r="S32" s="189"/>
      <c r="T32" s="190"/>
    </row>
    <row r="33" spans="1:20" ht="13.5" thickBot="1">
      <c r="A33" s="1510"/>
      <c r="B33" s="1534"/>
      <c r="C33" s="317" t="s">
        <v>93</v>
      </c>
      <c r="D33" s="343">
        <f t="shared" si="1"/>
        <v>1396.558</v>
      </c>
      <c r="E33" s="335"/>
      <c r="F33" s="344"/>
      <c r="G33" s="194"/>
      <c r="H33" s="1289">
        <f t="shared" si="2"/>
        <v>1396.558</v>
      </c>
      <c r="I33" s="346">
        <v>0</v>
      </c>
      <c r="J33" s="346">
        <v>1396.558</v>
      </c>
      <c r="K33" s="206"/>
      <c r="L33" s="344"/>
      <c r="M33" s="194"/>
      <c r="N33" s="193"/>
      <c r="O33" s="347"/>
      <c r="P33" s="194"/>
      <c r="Q33" s="191"/>
      <c r="R33" s="192"/>
      <c r="S33" s="193"/>
      <c r="T33" s="194"/>
    </row>
    <row r="34" spans="1:20" ht="12.75">
      <c r="A34" s="1513" t="s">
        <v>112</v>
      </c>
      <c r="B34" s="1535" t="s">
        <v>167</v>
      </c>
      <c r="C34" s="341" t="s">
        <v>148</v>
      </c>
      <c r="D34" s="322">
        <f t="shared" si="1"/>
        <v>2.5220000000000002</v>
      </c>
      <c r="E34" s="202"/>
      <c r="F34" s="348"/>
      <c r="G34" s="198"/>
      <c r="H34" s="1290">
        <f t="shared" si="2"/>
        <v>2.5220000000000002</v>
      </c>
      <c r="I34" s="332">
        <v>1.556</v>
      </c>
      <c r="J34" s="333">
        <v>0.966</v>
      </c>
      <c r="K34" s="180"/>
      <c r="L34" s="348"/>
      <c r="M34" s="198"/>
      <c r="N34" s="197"/>
      <c r="O34" s="349"/>
      <c r="P34" s="198"/>
      <c r="Q34" s="195"/>
      <c r="R34" s="196"/>
      <c r="S34" s="197"/>
      <c r="T34" s="198"/>
    </row>
    <row r="35" spans="1:20" ht="13.5" thickBot="1">
      <c r="A35" s="1514"/>
      <c r="B35" s="1536"/>
      <c r="C35" s="317" t="s">
        <v>93</v>
      </c>
      <c r="D35" s="318">
        <f t="shared" si="1"/>
        <v>1183.792918</v>
      </c>
      <c r="E35" s="335"/>
      <c r="F35" s="336"/>
      <c r="G35" s="186"/>
      <c r="H35" s="1291">
        <f t="shared" si="2"/>
        <v>1183.792918</v>
      </c>
      <c r="I35" s="338">
        <v>688.568</v>
      </c>
      <c r="J35" s="339">
        <v>495.224918</v>
      </c>
      <c r="K35" s="335"/>
      <c r="L35" s="336"/>
      <c r="M35" s="186"/>
      <c r="N35" s="185"/>
      <c r="O35" s="340"/>
      <c r="P35" s="186"/>
      <c r="Q35" s="199"/>
      <c r="R35" s="184"/>
      <c r="S35" s="185"/>
      <c r="T35" s="186"/>
    </row>
    <row r="36" spans="1:20" ht="12.75">
      <c r="A36" s="1509" t="s">
        <v>113</v>
      </c>
      <c r="B36" s="1533" t="s">
        <v>297</v>
      </c>
      <c r="C36" s="341" t="s">
        <v>148</v>
      </c>
      <c r="D36" s="322">
        <f t="shared" si="1"/>
        <v>8.044</v>
      </c>
      <c r="E36" s="202"/>
      <c r="F36" s="291"/>
      <c r="G36" s="190"/>
      <c r="H36" s="1292">
        <f>I36+J36</f>
        <v>8.044</v>
      </c>
      <c r="I36" s="350">
        <v>8.044</v>
      </c>
      <c r="J36" s="351">
        <v>0</v>
      </c>
      <c r="K36" s="202"/>
      <c r="L36" s="291"/>
      <c r="M36" s="190"/>
      <c r="N36" s="189"/>
      <c r="O36" s="342"/>
      <c r="P36" s="190"/>
      <c r="Q36" s="187"/>
      <c r="R36" s="188"/>
      <c r="S36" s="189"/>
      <c r="T36" s="190"/>
    </row>
    <row r="37" spans="1:20" ht="12.75">
      <c r="A37" s="1521"/>
      <c r="B37" s="1537"/>
      <c r="C37" s="306" t="s">
        <v>168</v>
      </c>
      <c r="D37" s="307">
        <f t="shared" si="1"/>
        <v>100</v>
      </c>
      <c r="E37" s="308"/>
      <c r="F37" s="309"/>
      <c r="G37" s="173"/>
      <c r="H37" s="1286">
        <f t="shared" si="2"/>
        <v>100</v>
      </c>
      <c r="I37" s="314">
        <v>100</v>
      </c>
      <c r="J37" s="315">
        <v>0</v>
      </c>
      <c r="K37" s="308"/>
      <c r="L37" s="309"/>
      <c r="M37" s="173"/>
      <c r="N37" s="172"/>
      <c r="O37" s="313"/>
      <c r="P37" s="173"/>
      <c r="Q37" s="170"/>
      <c r="R37" s="171"/>
      <c r="S37" s="172"/>
      <c r="T37" s="173"/>
    </row>
    <row r="38" spans="1:20" ht="13.5" thickBot="1">
      <c r="A38" s="1510"/>
      <c r="B38" s="1534"/>
      <c r="C38" s="317" t="s">
        <v>93</v>
      </c>
      <c r="D38" s="343">
        <f t="shared" si="1"/>
        <v>16679.441</v>
      </c>
      <c r="E38" s="335"/>
      <c r="F38" s="344"/>
      <c r="G38" s="194"/>
      <c r="H38" s="1293">
        <f t="shared" si="2"/>
        <v>16679.441</v>
      </c>
      <c r="I38" s="352">
        <v>16679.441</v>
      </c>
      <c r="J38" s="353">
        <v>0</v>
      </c>
      <c r="K38" s="206"/>
      <c r="L38" s="344"/>
      <c r="M38" s="194"/>
      <c r="N38" s="193"/>
      <c r="O38" s="347"/>
      <c r="P38" s="194"/>
      <c r="Q38" s="191"/>
      <c r="R38" s="192"/>
      <c r="S38" s="193"/>
      <c r="T38" s="194"/>
    </row>
    <row r="39" spans="1:20" ht="12.75">
      <c r="A39" s="1513" t="s">
        <v>114</v>
      </c>
      <c r="B39" s="1535" t="s">
        <v>298</v>
      </c>
      <c r="C39" s="341" t="s">
        <v>148</v>
      </c>
      <c r="D39" s="322">
        <f t="shared" si="1"/>
        <v>0.005</v>
      </c>
      <c r="E39" s="202"/>
      <c r="F39" s="348"/>
      <c r="G39" s="198"/>
      <c r="H39" s="1288">
        <f t="shared" si="2"/>
        <v>0.005</v>
      </c>
      <c r="I39" s="325">
        <v>0.005</v>
      </c>
      <c r="J39" s="326">
        <v>0</v>
      </c>
      <c r="K39" s="180"/>
      <c r="L39" s="348"/>
      <c r="M39" s="198"/>
      <c r="N39" s="197"/>
      <c r="O39" s="349"/>
      <c r="P39" s="198"/>
      <c r="Q39" s="195"/>
      <c r="R39" s="196"/>
      <c r="S39" s="197"/>
      <c r="T39" s="198"/>
    </row>
    <row r="40" spans="1:20" ht="13.5" thickBot="1">
      <c r="A40" s="1514"/>
      <c r="B40" s="1536"/>
      <c r="C40" s="317" t="s">
        <v>93</v>
      </c>
      <c r="D40" s="343">
        <f t="shared" si="1"/>
        <v>3.8244830000000003</v>
      </c>
      <c r="E40" s="335"/>
      <c r="F40" s="336"/>
      <c r="G40" s="186"/>
      <c r="H40" s="1289">
        <f t="shared" si="2"/>
        <v>3.8244830000000003</v>
      </c>
      <c r="I40" s="346">
        <v>3.8244830000000003</v>
      </c>
      <c r="J40" s="354">
        <v>0</v>
      </c>
      <c r="K40" s="335"/>
      <c r="L40" s="336"/>
      <c r="M40" s="186"/>
      <c r="N40" s="185"/>
      <c r="O40" s="340"/>
      <c r="P40" s="186"/>
      <c r="Q40" s="199"/>
      <c r="R40" s="184"/>
      <c r="S40" s="185"/>
      <c r="T40" s="186"/>
    </row>
    <row r="41" spans="1:20" ht="12.75">
      <c r="A41" s="1509" t="s">
        <v>115</v>
      </c>
      <c r="B41" s="1533" t="s">
        <v>299</v>
      </c>
      <c r="C41" s="341" t="s">
        <v>148</v>
      </c>
      <c r="D41" s="322">
        <f t="shared" si="1"/>
        <v>0.28248</v>
      </c>
      <c r="E41" s="202"/>
      <c r="F41" s="291"/>
      <c r="G41" s="190"/>
      <c r="H41" s="1288">
        <f t="shared" si="2"/>
        <v>0.28248</v>
      </c>
      <c r="I41" s="325">
        <v>0.181</v>
      </c>
      <c r="J41" s="326">
        <v>0.10148</v>
      </c>
      <c r="K41" s="202"/>
      <c r="L41" s="291"/>
      <c r="M41" s="190"/>
      <c r="N41" s="189"/>
      <c r="O41" s="342"/>
      <c r="P41" s="190"/>
      <c r="Q41" s="187"/>
      <c r="R41" s="188"/>
      <c r="S41" s="189"/>
      <c r="T41" s="190"/>
    </row>
    <row r="42" spans="1:20" ht="13.5" thickBot="1">
      <c r="A42" s="1514"/>
      <c r="B42" s="1536"/>
      <c r="C42" s="317" t="s">
        <v>93</v>
      </c>
      <c r="D42" s="318">
        <f t="shared" si="1"/>
        <v>345.807</v>
      </c>
      <c r="E42" s="335"/>
      <c r="F42" s="336"/>
      <c r="G42" s="186"/>
      <c r="H42" s="1289">
        <f t="shared" si="2"/>
        <v>345.807</v>
      </c>
      <c r="I42" s="346">
        <v>163.143</v>
      </c>
      <c r="J42" s="354">
        <f>1.8*101.48</f>
        <v>182.66400000000002</v>
      </c>
      <c r="K42" s="335"/>
      <c r="L42" s="336"/>
      <c r="M42" s="186"/>
      <c r="N42" s="185"/>
      <c r="O42" s="340"/>
      <c r="P42" s="186"/>
      <c r="Q42" s="199"/>
      <c r="R42" s="184"/>
      <c r="S42" s="185"/>
      <c r="T42" s="186"/>
    </row>
    <row r="43" spans="1:20" ht="12.75">
      <c r="A43" s="1509" t="s">
        <v>116</v>
      </c>
      <c r="B43" s="1533" t="s">
        <v>300</v>
      </c>
      <c r="C43" s="341" t="s">
        <v>104</v>
      </c>
      <c r="D43" s="322">
        <f t="shared" si="1"/>
        <v>248</v>
      </c>
      <c r="E43" s="202"/>
      <c r="F43" s="291"/>
      <c r="G43" s="190"/>
      <c r="H43" s="1288">
        <f t="shared" si="2"/>
        <v>248</v>
      </c>
      <c r="I43" s="325">
        <v>0</v>
      </c>
      <c r="J43" s="325">
        <v>248</v>
      </c>
      <c r="K43" s="202"/>
      <c r="L43" s="291"/>
      <c r="M43" s="190"/>
      <c r="N43" s="189"/>
      <c r="O43" s="342"/>
      <c r="P43" s="190"/>
      <c r="Q43" s="187"/>
      <c r="R43" s="188"/>
      <c r="S43" s="189"/>
      <c r="T43" s="190"/>
    </row>
    <row r="44" spans="1:20" ht="13.5" thickBot="1">
      <c r="A44" s="1510"/>
      <c r="B44" s="1534"/>
      <c r="C44" s="317" t="s">
        <v>93</v>
      </c>
      <c r="D44" s="343">
        <f t="shared" si="1"/>
        <v>198.455</v>
      </c>
      <c r="E44" s="335"/>
      <c r="F44" s="344"/>
      <c r="G44" s="194"/>
      <c r="H44" s="1289">
        <f t="shared" si="2"/>
        <v>198.455</v>
      </c>
      <c r="I44" s="346">
        <v>0</v>
      </c>
      <c r="J44" s="346">
        <v>198.455</v>
      </c>
      <c r="K44" s="206"/>
      <c r="L44" s="344"/>
      <c r="M44" s="194"/>
      <c r="N44" s="193"/>
      <c r="O44" s="347"/>
      <c r="P44" s="194"/>
      <c r="Q44" s="191"/>
      <c r="R44" s="192"/>
      <c r="S44" s="193"/>
      <c r="T44" s="194"/>
    </row>
    <row r="45" spans="1:20" ht="12" customHeight="1">
      <c r="A45" s="1513" t="s">
        <v>117</v>
      </c>
      <c r="B45" s="1515" t="s">
        <v>301</v>
      </c>
      <c r="C45" s="341" t="s">
        <v>104</v>
      </c>
      <c r="D45" s="322">
        <f t="shared" si="1"/>
        <v>0</v>
      </c>
      <c r="E45" s="202"/>
      <c r="F45" s="348"/>
      <c r="G45" s="198"/>
      <c r="H45" s="1288">
        <f t="shared" si="2"/>
        <v>0</v>
      </c>
      <c r="I45" s="325">
        <v>0</v>
      </c>
      <c r="J45" s="326">
        <v>0</v>
      </c>
      <c r="K45" s="180"/>
      <c r="L45" s="348"/>
      <c r="M45" s="198"/>
      <c r="N45" s="197"/>
      <c r="O45" s="349"/>
      <c r="P45" s="198"/>
      <c r="Q45" s="195"/>
      <c r="R45" s="196"/>
      <c r="S45" s="197"/>
      <c r="T45" s="198"/>
    </row>
    <row r="46" spans="1:20" ht="12" customHeight="1" thickBot="1">
      <c r="A46" s="1514"/>
      <c r="B46" s="1516"/>
      <c r="C46" s="317" t="s">
        <v>93</v>
      </c>
      <c r="D46" s="318">
        <f t="shared" si="1"/>
        <v>0</v>
      </c>
      <c r="E46" s="335"/>
      <c r="F46" s="336"/>
      <c r="G46" s="186"/>
      <c r="H46" s="1289">
        <f t="shared" si="2"/>
        <v>0</v>
      </c>
      <c r="I46" s="346">
        <v>0</v>
      </c>
      <c r="J46" s="354">
        <v>0</v>
      </c>
      <c r="K46" s="335"/>
      <c r="L46" s="336"/>
      <c r="M46" s="186"/>
      <c r="N46" s="185"/>
      <c r="O46" s="340"/>
      <c r="P46" s="186"/>
      <c r="Q46" s="199"/>
      <c r="R46" s="184"/>
      <c r="S46" s="185"/>
      <c r="T46" s="186"/>
    </row>
    <row r="47" spans="1:20" ht="12.75">
      <c r="A47" s="1509" t="s">
        <v>118</v>
      </c>
      <c r="B47" s="1511" t="s">
        <v>302</v>
      </c>
      <c r="C47" s="355" t="s">
        <v>166</v>
      </c>
      <c r="D47" s="356">
        <f t="shared" si="1"/>
        <v>0.985</v>
      </c>
      <c r="E47" s="202"/>
      <c r="F47" s="291"/>
      <c r="G47" s="190"/>
      <c r="H47" s="1290">
        <f aca="true" t="shared" si="3" ref="H47:H96">I47+J47</f>
        <v>0.985</v>
      </c>
      <c r="I47" s="332">
        <v>0.024</v>
      </c>
      <c r="J47" s="333">
        <v>0.961</v>
      </c>
      <c r="K47" s="202"/>
      <c r="L47" s="291"/>
      <c r="M47" s="190"/>
      <c r="N47" s="189"/>
      <c r="O47" s="342"/>
      <c r="P47" s="190"/>
      <c r="Q47" s="187"/>
      <c r="R47" s="188"/>
      <c r="S47" s="189"/>
      <c r="T47" s="190"/>
    </row>
    <row r="48" spans="1:20" ht="13.5" thickBot="1">
      <c r="A48" s="1510"/>
      <c r="B48" s="1512"/>
      <c r="C48" s="317" t="s">
        <v>93</v>
      </c>
      <c r="D48" s="318">
        <f t="shared" si="1"/>
        <v>1575.855</v>
      </c>
      <c r="E48" s="206"/>
      <c r="F48" s="344"/>
      <c r="G48" s="194"/>
      <c r="H48" s="1291">
        <f t="shared" si="3"/>
        <v>1575.855</v>
      </c>
      <c r="I48" s="338">
        <v>19.035</v>
      </c>
      <c r="J48" s="339">
        <v>1556.82</v>
      </c>
      <c r="K48" s="206"/>
      <c r="L48" s="344"/>
      <c r="M48" s="194"/>
      <c r="N48" s="193"/>
      <c r="O48" s="347"/>
      <c r="P48" s="194"/>
      <c r="Q48" s="191"/>
      <c r="R48" s="192"/>
      <c r="S48" s="193"/>
      <c r="T48" s="194"/>
    </row>
    <row r="49" spans="1:20" ht="12.75">
      <c r="A49" s="1513" t="s">
        <v>119</v>
      </c>
      <c r="B49" s="1515" t="s">
        <v>303</v>
      </c>
      <c r="C49" s="355" t="s">
        <v>104</v>
      </c>
      <c r="D49" s="356">
        <f t="shared" si="1"/>
        <v>20</v>
      </c>
      <c r="E49" s="180"/>
      <c r="F49" s="348"/>
      <c r="G49" s="198"/>
      <c r="H49" s="1288">
        <f t="shared" si="3"/>
        <v>20</v>
      </c>
      <c r="I49" s="325">
        <v>20</v>
      </c>
      <c r="J49" s="326">
        <v>0</v>
      </c>
      <c r="K49" s="180"/>
      <c r="L49" s="348"/>
      <c r="M49" s="198"/>
      <c r="N49" s="197"/>
      <c r="O49" s="349"/>
      <c r="P49" s="198"/>
      <c r="Q49" s="195"/>
      <c r="R49" s="196"/>
      <c r="S49" s="197"/>
      <c r="T49" s="198"/>
    </row>
    <row r="50" spans="1:20" ht="13.5" thickBot="1">
      <c r="A50" s="1514"/>
      <c r="B50" s="1516"/>
      <c r="C50" s="317" t="s">
        <v>93</v>
      </c>
      <c r="D50" s="318">
        <f t="shared" si="1"/>
        <v>41.1776</v>
      </c>
      <c r="E50" s="335"/>
      <c r="F50" s="336"/>
      <c r="G50" s="186"/>
      <c r="H50" s="1289">
        <f t="shared" si="3"/>
        <v>41.1776</v>
      </c>
      <c r="I50" s="346">
        <v>41.1776</v>
      </c>
      <c r="J50" s="354">
        <v>0</v>
      </c>
      <c r="K50" s="335"/>
      <c r="L50" s="336"/>
      <c r="M50" s="186"/>
      <c r="N50" s="185"/>
      <c r="O50" s="340"/>
      <c r="P50" s="186"/>
      <c r="Q50" s="199"/>
      <c r="R50" s="184"/>
      <c r="S50" s="185"/>
      <c r="T50" s="186"/>
    </row>
    <row r="51" spans="1:20" ht="12.75">
      <c r="A51" s="1513" t="s">
        <v>120</v>
      </c>
      <c r="B51" s="1515" t="s">
        <v>169</v>
      </c>
      <c r="C51" s="355" t="s">
        <v>104</v>
      </c>
      <c r="D51" s="370">
        <f t="shared" si="1"/>
        <v>94</v>
      </c>
      <c r="E51" s="180"/>
      <c r="F51" s="348"/>
      <c r="G51" s="198"/>
      <c r="H51" s="1288">
        <f t="shared" si="3"/>
        <v>94</v>
      </c>
      <c r="I51" s="325">
        <v>8</v>
      </c>
      <c r="J51" s="326">
        <v>86</v>
      </c>
      <c r="K51" s="180"/>
      <c r="L51" s="348"/>
      <c r="M51" s="198"/>
      <c r="N51" s="197"/>
      <c r="O51" s="349"/>
      <c r="P51" s="198"/>
      <c r="Q51" s="195"/>
      <c r="R51" s="196"/>
      <c r="S51" s="197"/>
      <c r="T51" s="198"/>
    </row>
    <row r="52" spans="1:20" ht="13.5" thickBot="1">
      <c r="A52" s="1514"/>
      <c r="B52" s="1516"/>
      <c r="C52" s="317" t="s">
        <v>93</v>
      </c>
      <c r="D52" s="318">
        <f t="shared" si="1"/>
        <v>1429.416</v>
      </c>
      <c r="E52" s="335"/>
      <c r="F52" s="336"/>
      <c r="G52" s="186"/>
      <c r="H52" s="1289">
        <f t="shared" si="3"/>
        <v>1429.416</v>
      </c>
      <c r="I52" s="346">
        <v>107.104</v>
      </c>
      <c r="J52" s="354">
        <v>1322.312</v>
      </c>
      <c r="K52" s="335"/>
      <c r="L52" s="336"/>
      <c r="M52" s="186"/>
      <c r="N52" s="185"/>
      <c r="O52" s="340"/>
      <c r="P52" s="186"/>
      <c r="Q52" s="199"/>
      <c r="R52" s="184"/>
      <c r="S52" s="185"/>
      <c r="T52" s="186"/>
    </row>
    <row r="53" spans="1:20" ht="12.75">
      <c r="A53" s="1513" t="s">
        <v>121</v>
      </c>
      <c r="B53" s="1515" t="s">
        <v>304</v>
      </c>
      <c r="C53" s="341" t="s">
        <v>104</v>
      </c>
      <c r="D53" s="322">
        <f t="shared" si="1"/>
        <v>1019</v>
      </c>
      <c r="E53" s="1356"/>
      <c r="F53" s="355"/>
      <c r="G53" s="1357"/>
      <c r="H53" s="324">
        <f t="shared" si="3"/>
        <v>1019</v>
      </c>
      <c r="I53" s="325">
        <v>1019</v>
      </c>
      <c r="J53" s="326">
        <v>0</v>
      </c>
      <c r="K53" s="1356"/>
      <c r="L53" s="355"/>
      <c r="M53" s="1357"/>
      <c r="N53" s="197"/>
      <c r="O53" s="349"/>
      <c r="P53" s="198"/>
      <c r="Q53" s="195"/>
      <c r="R53" s="196"/>
      <c r="S53" s="197"/>
      <c r="T53" s="198"/>
    </row>
    <row r="54" spans="1:20" ht="13.5" thickBot="1">
      <c r="A54" s="1514"/>
      <c r="B54" s="1516"/>
      <c r="C54" s="317" t="s">
        <v>93</v>
      </c>
      <c r="D54" s="318">
        <f t="shared" si="1"/>
        <v>712.837</v>
      </c>
      <c r="E54" s="1358"/>
      <c r="F54" s="317"/>
      <c r="G54" s="1359"/>
      <c r="H54" s="345">
        <f t="shared" si="3"/>
        <v>712.837</v>
      </c>
      <c r="I54" s="346">
        <v>712.837</v>
      </c>
      <c r="J54" s="354">
        <v>0</v>
      </c>
      <c r="K54" s="1358"/>
      <c r="L54" s="317"/>
      <c r="M54" s="1359"/>
      <c r="N54" s="185"/>
      <c r="O54" s="340"/>
      <c r="P54" s="186"/>
      <c r="Q54" s="199"/>
      <c r="R54" s="184"/>
      <c r="S54" s="185"/>
      <c r="T54" s="186"/>
    </row>
    <row r="55" spans="1:20" ht="12.75">
      <c r="A55" s="1509" t="s">
        <v>122</v>
      </c>
      <c r="B55" s="1533" t="s">
        <v>305</v>
      </c>
      <c r="C55" s="355" t="s">
        <v>148</v>
      </c>
      <c r="D55" s="356">
        <f t="shared" si="1"/>
        <v>0.60039</v>
      </c>
      <c r="E55" s="202"/>
      <c r="F55" s="291"/>
      <c r="G55" s="190"/>
      <c r="H55" s="1290">
        <f t="shared" si="3"/>
        <v>0.60039</v>
      </c>
      <c r="I55" s="332">
        <f>(204.65+207.9+8.64)/1000</f>
        <v>0.42119</v>
      </c>
      <c r="J55" s="333">
        <v>0.1792</v>
      </c>
      <c r="K55" s="202"/>
      <c r="L55" s="291"/>
      <c r="M55" s="190"/>
      <c r="N55" s="189"/>
      <c r="O55" s="342"/>
      <c r="P55" s="190"/>
      <c r="Q55" s="187"/>
      <c r="R55" s="188"/>
      <c r="S55" s="189"/>
      <c r="T55" s="190"/>
    </row>
    <row r="56" spans="1:20" ht="13.5" thickBot="1">
      <c r="A56" s="1510"/>
      <c r="B56" s="1534"/>
      <c r="C56" s="317" t="s">
        <v>93</v>
      </c>
      <c r="D56" s="318">
        <f t="shared" si="1"/>
        <v>2099.034</v>
      </c>
      <c r="E56" s="206"/>
      <c r="F56" s="344"/>
      <c r="G56" s="194"/>
      <c r="H56" s="1291">
        <f t="shared" si="3"/>
        <v>2099.034</v>
      </c>
      <c r="I56" s="338">
        <f>(507.309+580.173+60)</f>
        <v>1147.482</v>
      </c>
      <c r="J56" s="339">
        <v>951.552</v>
      </c>
      <c r="K56" s="206"/>
      <c r="L56" s="344"/>
      <c r="M56" s="194"/>
      <c r="N56" s="193"/>
      <c r="O56" s="347"/>
      <c r="P56" s="194"/>
      <c r="Q56" s="191"/>
      <c r="R56" s="192"/>
      <c r="S56" s="193"/>
      <c r="T56" s="194"/>
    </row>
    <row r="57" spans="1:20" ht="12.75">
      <c r="A57" s="1501" t="s">
        <v>124</v>
      </c>
      <c r="B57" s="1531" t="s">
        <v>306</v>
      </c>
      <c r="C57" s="357" t="s">
        <v>104</v>
      </c>
      <c r="D57" s="358">
        <f t="shared" si="1"/>
        <v>38</v>
      </c>
      <c r="E57" s="359"/>
      <c r="F57" s="360"/>
      <c r="G57" s="361"/>
      <c r="H57" s="1294">
        <f t="shared" si="3"/>
        <v>38</v>
      </c>
      <c r="I57" s="362">
        <v>38</v>
      </c>
      <c r="J57" s="363">
        <v>0</v>
      </c>
      <c r="K57" s="180"/>
      <c r="L57" s="348"/>
      <c r="M57" s="198"/>
      <c r="N57" s="197"/>
      <c r="O57" s="349"/>
      <c r="P57" s="198"/>
      <c r="Q57" s="195"/>
      <c r="R57" s="196"/>
      <c r="S57" s="197"/>
      <c r="T57" s="198"/>
    </row>
    <row r="58" spans="1:20" ht="13.5" thickBot="1">
      <c r="A58" s="1502"/>
      <c r="B58" s="1532"/>
      <c r="C58" s="364" t="s">
        <v>93</v>
      </c>
      <c r="D58" s="365">
        <f t="shared" si="1"/>
        <v>160.97</v>
      </c>
      <c r="E58" s="366"/>
      <c r="F58" s="367"/>
      <c r="G58" s="223"/>
      <c r="H58" s="1295">
        <f t="shared" si="3"/>
        <v>160.97</v>
      </c>
      <c r="I58" s="368">
        <v>160.97</v>
      </c>
      <c r="J58" s="369">
        <v>0</v>
      </c>
      <c r="K58" s="335"/>
      <c r="L58" s="336"/>
      <c r="M58" s="186"/>
      <c r="N58" s="185"/>
      <c r="O58" s="340"/>
      <c r="P58" s="186"/>
      <c r="Q58" s="199"/>
      <c r="R58" s="184"/>
      <c r="S58" s="185"/>
      <c r="T58" s="186"/>
    </row>
    <row r="59" spans="1:20" ht="11.25" customHeight="1">
      <c r="A59" s="1513" t="s">
        <v>125</v>
      </c>
      <c r="B59" s="1515" t="s">
        <v>170</v>
      </c>
      <c r="C59" s="355" t="s">
        <v>104</v>
      </c>
      <c r="D59" s="370">
        <f t="shared" si="1"/>
        <v>0</v>
      </c>
      <c r="E59" s="180"/>
      <c r="F59" s="348"/>
      <c r="G59" s="198"/>
      <c r="H59" s="1288">
        <f t="shared" si="3"/>
        <v>0</v>
      </c>
      <c r="I59" s="325">
        <v>0</v>
      </c>
      <c r="J59" s="326">
        <v>0</v>
      </c>
      <c r="K59" s="180"/>
      <c r="L59" s="348"/>
      <c r="M59" s="198"/>
      <c r="N59" s="197"/>
      <c r="O59" s="349"/>
      <c r="P59" s="198"/>
      <c r="Q59" s="195"/>
      <c r="R59" s="196"/>
      <c r="S59" s="197"/>
      <c r="T59" s="198"/>
    </row>
    <row r="60" spans="1:20" ht="13.5" thickBot="1">
      <c r="A60" s="1514"/>
      <c r="B60" s="1516"/>
      <c r="C60" s="317" t="s">
        <v>93</v>
      </c>
      <c r="D60" s="318">
        <f t="shared" si="1"/>
        <v>0</v>
      </c>
      <c r="E60" s="185"/>
      <c r="F60" s="336"/>
      <c r="G60" s="186"/>
      <c r="H60" s="1289">
        <f t="shared" si="3"/>
        <v>0</v>
      </c>
      <c r="I60" s="346">
        <v>0</v>
      </c>
      <c r="J60" s="354">
        <v>0</v>
      </c>
      <c r="K60" s="185"/>
      <c r="L60" s="336"/>
      <c r="M60" s="186"/>
      <c r="N60" s="185"/>
      <c r="O60" s="340"/>
      <c r="P60" s="186"/>
      <c r="Q60" s="199"/>
      <c r="R60" s="184"/>
      <c r="S60" s="185"/>
      <c r="T60" s="186"/>
    </row>
    <row r="61" spans="1:20" ht="12.75">
      <c r="A61" s="1513" t="s">
        <v>126</v>
      </c>
      <c r="B61" s="1515" t="s">
        <v>307</v>
      </c>
      <c r="C61" s="341" t="s">
        <v>308</v>
      </c>
      <c r="D61" s="322">
        <f t="shared" si="1"/>
        <v>0</v>
      </c>
      <c r="E61" s="180"/>
      <c r="F61" s="348"/>
      <c r="G61" s="198"/>
      <c r="H61" s="1288">
        <f t="shared" si="3"/>
        <v>0</v>
      </c>
      <c r="I61" s="325">
        <v>0</v>
      </c>
      <c r="J61" s="326">
        <v>0</v>
      </c>
      <c r="K61" s="180"/>
      <c r="L61" s="348"/>
      <c r="M61" s="198"/>
      <c r="N61" s="197"/>
      <c r="O61" s="349"/>
      <c r="P61" s="198"/>
      <c r="Q61" s="195"/>
      <c r="R61" s="196"/>
      <c r="S61" s="197"/>
      <c r="T61" s="198"/>
    </row>
    <row r="62" spans="1:20" ht="13.5" customHeight="1" thickBot="1">
      <c r="A62" s="1514"/>
      <c r="B62" s="1516"/>
      <c r="C62" s="317" t="s">
        <v>93</v>
      </c>
      <c r="D62" s="318">
        <f t="shared" si="1"/>
        <v>0</v>
      </c>
      <c r="E62" s="335"/>
      <c r="F62" s="336"/>
      <c r="G62" s="186"/>
      <c r="H62" s="1289">
        <f t="shared" si="3"/>
        <v>0</v>
      </c>
      <c r="I62" s="346">
        <v>0</v>
      </c>
      <c r="J62" s="354">
        <v>0</v>
      </c>
      <c r="K62" s="335"/>
      <c r="L62" s="336"/>
      <c r="M62" s="186"/>
      <c r="N62" s="185"/>
      <c r="O62" s="340"/>
      <c r="P62" s="186"/>
      <c r="Q62" s="199"/>
      <c r="R62" s="184"/>
      <c r="S62" s="185"/>
      <c r="T62" s="186"/>
    </row>
    <row r="63" spans="1:20" ht="12.75">
      <c r="A63" s="1509" t="s">
        <v>127</v>
      </c>
      <c r="B63" s="1511" t="s">
        <v>309</v>
      </c>
      <c r="C63" s="341" t="s">
        <v>104</v>
      </c>
      <c r="D63" s="322">
        <f t="shared" si="1"/>
        <v>80</v>
      </c>
      <c r="E63" s="202"/>
      <c r="F63" s="371"/>
      <c r="G63" s="203"/>
      <c r="H63" s="1288">
        <f t="shared" si="3"/>
        <v>80</v>
      </c>
      <c r="I63" s="325">
        <v>80</v>
      </c>
      <c r="J63" s="326">
        <v>0</v>
      </c>
      <c r="K63" s="202"/>
      <c r="L63" s="371"/>
      <c r="M63" s="203"/>
      <c r="N63" s="202"/>
      <c r="O63" s="371"/>
      <c r="P63" s="203"/>
      <c r="Q63" s="200"/>
      <c r="R63" s="201"/>
      <c r="S63" s="202"/>
      <c r="T63" s="203"/>
    </row>
    <row r="64" spans="1:20" ht="13.5" thickBot="1">
      <c r="A64" s="1510"/>
      <c r="B64" s="1512"/>
      <c r="C64" s="317" t="s">
        <v>93</v>
      </c>
      <c r="D64" s="318">
        <f t="shared" si="1"/>
        <v>577.638</v>
      </c>
      <c r="E64" s="206"/>
      <c r="F64" s="372"/>
      <c r="G64" s="207"/>
      <c r="H64" s="1289">
        <f t="shared" si="3"/>
        <v>577.638</v>
      </c>
      <c r="I64" s="346">
        <v>577.638</v>
      </c>
      <c r="J64" s="354">
        <v>0</v>
      </c>
      <c r="K64" s="206"/>
      <c r="L64" s="372"/>
      <c r="M64" s="207"/>
      <c r="N64" s="206"/>
      <c r="O64" s="372"/>
      <c r="P64" s="207"/>
      <c r="Q64" s="204"/>
      <c r="R64" s="205"/>
      <c r="S64" s="206"/>
      <c r="T64" s="207"/>
    </row>
    <row r="65" spans="1:20" ht="12.75">
      <c r="A65" s="1513" t="s">
        <v>128</v>
      </c>
      <c r="B65" s="1515" t="s">
        <v>310</v>
      </c>
      <c r="C65" s="355" t="s">
        <v>104</v>
      </c>
      <c r="D65" s="356">
        <f t="shared" si="1"/>
        <v>11</v>
      </c>
      <c r="E65" s="180"/>
      <c r="F65" s="348"/>
      <c r="G65" s="198"/>
      <c r="H65" s="1288">
        <f t="shared" si="3"/>
        <v>11</v>
      </c>
      <c r="I65" s="325">
        <v>11</v>
      </c>
      <c r="J65" s="326">
        <v>0</v>
      </c>
      <c r="K65" s="180"/>
      <c r="L65" s="348"/>
      <c r="M65" s="198"/>
      <c r="N65" s="197"/>
      <c r="O65" s="349"/>
      <c r="P65" s="198"/>
      <c r="Q65" s="195"/>
      <c r="R65" s="196"/>
      <c r="S65" s="197"/>
      <c r="T65" s="198"/>
    </row>
    <row r="66" spans="1:20" ht="13.5" thickBot="1">
      <c r="A66" s="1514"/>
      <c r="B66" s="1516"/>
      <c r="C66" s="317" t="s">
        <v>93</v>
      </c>
      <c r="D66" s="318">
        <f t="shared" si="1"/>
        <v>29.747</v>
      </c>
      <c r="E66" s="335"/>
      <c r="F66" s="336"/>
      <c r="G66" s="186"/>
      <c r="H66" s="1289">
        <f t="shared" si="3"/>
        <v>29.747</v>
      </c>
      <c r="I66" s="346">
        <v>29.747</v>
      </c>
      <c r="J66" s="354">
        <v>0</v>
      </c>
      <c r="K66" s="335"/>
      <c r="L66" s="336"/>
      <c r="M66" s="186"/>
      <c r="N66" s="185"/>
      <c r="O66" s="340"/>
      <c r="P66" s="186"/>
      <c r="Q66" s="199"/>
      <c r="R66" s="184"/>
      <c r="S66" s="185"/>
      <c r="T66" s="186"/>
    </row>
    <row r="67" spans="1:20" ht="12.75">
      <c r="A67" s="1509" t="s">
        <v>129</v>
      </c>
      <c r="B67" s="1511" t="s">
        <v>311</v>
      </c>
      <c r="C67" s="341" t="s">
        <v>242</v>
      </c>
      <c r="D67" s="322">
        <f t="shared" si="1"/>
        <v>0</v>
      </c>
      <c r="E67" s="202"/>
      <c r="F67" s="291"/>
      <c r="G67" s="190"/>
      <c r="H67" s="1288">
        <f t="shared" si="3"/>
        <v>0</v>
      </c>
      <c r="I67" s="325">
        <v>0</v>
      </c>
      <c r="J67" s="325">
        <v>0</v>
      </c>
      <c r="K67" s="202"/>
      <c r="L67" s="291"/>
      <c r="M67" s="190"/>
      <c r="N67" s="189"/>
      <c r="O67" s="342"/>
      <c r="P67" s="190"/>
      <c r="Q67" s="187"/>
      <c r="R67" s="188"/>
      <c r="S67" s="189"/>
      <c r="T67" s="190"/>
    </row>
    <row r="68" spans="1:20" ht="12.75">
      <c r="A68" s="1510"/>
      <c r="B68" s="1512"/>
      <c r="C68" s="373" t="s">
        <v>93</v>
      </c>
      <c r="D68" s="307">
        <f t="shared" si="1"/>
        <v>0</v>
      </c>
      <c r="E68" s="206"/>
      <c r="F68" s="344"/>
      <c r="G68" s="194"/>
      <c r="H68" s="310">
        <f t="shared" si="3"/>
        <v>0</v>
      </c>
      <c r="I68" s="314">
        <v>0</v>
      </c>
      <c r="J68" s="314">
        <v>0</v>
      </c>
      <c r="K68" s="308"/>
      <c r="L68" s="344"/>
      <c r="M68" s="194"/>
      <c r="N68" s="193"/>
      <c r="O68" s="347"/>
      <c r="P68" s="194"/>
      <c r="Q68" s="191"/>
      <c r="R68" s="192"/>
      <c r="S68" s="193"/>
      <c r="T68" s="194"/>
    </row>
    <row r="69" spans="1:20" ht="12.75">
      <c r="A69" s="1524" t="s">
        <v>312</v>
      </c>
      <c r="B69" s="1526" t="s">
        <v>313</v>
      </c>
      <c r="C69" s="306" t="s">
        <v>308</v>
      </c>
      <c r="D69" s="307">
        <f t="shared" si="1"/>
        <v>0</v>
      </c>
      <c r="E69" s="308"/>
      <c r="F69" s="309"/>
      <c r="G69" s="173"/>
      <c r="H69" s="331">
        <f t="shared" si="3"/>
        <v>0</v>
      </c>
      <c r="I69" s="332">
        <v>0</v>
      </c>
      <c r="J69" s="333">
        <v>0</v>
      </c>
      <c r="K69" s="202"/>
      <c r="L69" s="309"/>
      <c r="M69" s="173"/>
      <c r="N69" s="172"/>
      <c r="O69" s="313"/>
      <c r="P69" s="173"/>
      <c r="Q69" s="170"/>
      <c r="R69" s="171"/>
      <c r="S69" s="172"/>
      <c r="T69" s="173"/>
    </row>
    <row r="70" spans="1:20" ht="13.5" thickBot="1">
      <c r="A70" s="1525"/>
      <c r="B70" s="1512"/>
      <c r="C70" s="373" t="s">
        <v>93</v>
      </c>
      <c r="D70" s="318">
        <f t="shared" si="1"/>
        <v>0</v>
      </c>
      <c r="E70" s="206"/>
      <c r="F70" s="344"/>
      <c r="G70" s="194"/>
      <c r="H70" s="337">
        <f t="shared" si="3"/>
        <v>0</v>
      </c>
      <c r="I70" s="338">
        <v>0</v>
      </c>
      <c r="J70" s="339">
        <v>0</v>
      </c>
      <c r="K70" s="206"/>
      <c r="L70" s="344"/>
      <c r="M70" s="194"/>
      <c r="N70" s="193"/>
      <c r="O70" s="347"/>
      <c r="P70" s="194"/>
      <c r="Q70" s="191"/>
      <c r="R70" s="192"/>
      <c r="S70" s="193"/>
      <c r="T70" s="194"/>
    </row>
    <row r="71" spans="1:20" ht="13.5" thickBot="1">
      <c r="A71" s="374" t="s">
        <v>171</v>
      </c>
      <c r="B71" s="375" t="s">
        <v>172</v>
      </c>
      <c r="C71" s="376" t="s">
        <v>93</v>
      </c>
      <c r="D71" s="377">
        <f t="shared" si="1"/>
        <v>3411.2688</v>
      </c>
      <c r="E71" s="210"/>
      <c r="F71" s="376"/>
      <c r="G71" s="211"/>
      <c r="H71" s="378">
        <f t="shared" si="3"/>
        <v>3411.2688</v>
      </c>
      <c r="I71" s="379">
        <f>I73+I83+I85</f>
        <v>3411.2688</v>
      </c>
      <c r="J71" s="380">
        <f>J73+J83+J85</f>
        <v>0</v>
      </c>
      <c r="K71" s="210"/>
      <c r="L71" s="376"/>
      <c r="M71" s="211"/>
      <c r="N71" s="210"/>
      <c r="O71" s="381"/>
      <c r="P71" s="211"/>
      <c r="Q71" s="208"/>
      <c r="R71" s="209"/>
      <c r="S71" s="210"/>
      <c r="T71" s="211"/>
    </row>
    <row r="72" spans="1:20" ht="12.75">
      <c r="A72" s="1527" t="s">
        <v>314</v>
      </c>
      <c r="B72" s="1529" t="s">
        <v>315</v>
      </c>
      <c r="C72" s="382" t="s">
        <v>166</v>
      </c>
      <c r="D72" s="383">
        <f t="shared" si="1"/>
        <v>1.809</v>
      </c>
      <c r="E72" s="214"/>
      <c r="F72" s="382"/>
      <c r="G72" s="215"/>
      <c r="H72" s="384">
        <f t="shared" si="3"/>
        <v>1.809</v>
      </c>
      <c r="I72" s="763">
        <f>I74+I76+I78+I80</f>
        <v>1.809</v>
      </c>
      <c r="J72" s="385">
        <v>0</v>
      </c>
      <c r="K72" s="214"/>
      <c r="L72" s="382"/>
      <c r="M72" s="215"/>
      <c r="N72" s="214"/>
      <c r="O72" s="386"/>
      <c r="P72" s="215"/>
      <c r="Q72" s="212"/>
      <c r="R72" s="213"/>
      <c r="S72" s="214"/>
      <c r="T72" s="215"/>
    </row>
    <row r="73" spans="1:20" ht="12.75">
      <c r="A73" s="1528"/>
      <c r="B73" s="1530"/>
      <c r="C73" s="297" t="s">
        <v>93</v>
      </c>
      <c r="D73" s="303">
        <f t="shared" si="1"/>
        <v>2028.0418</v>
      </c>
      <c r="E73" s="218"/>
      <c r="F73" s="297"/>
      <c r="G73" s="219"/>
      <c r="H73" s="328">
        <f t="shared" si="3"/>
        <v>2028.0418</v>
      </c>
      <c r="I73" s="764">
        <f>I75+I77+I79+I81</f>
        <v>2028.0418</v>
      </c>
      <c r="J73" s="330">
        <f>J75+J77+J79+J81</f>
        <v>0</v>
      </c>
      <c r="K73" s="218"/>
      <c r="L73" s="297"/>
      <c r="M73" s="219"/>
      <c r="N73" s="218"/>
      <c r="O73" s="387"/>
      <c r="P73" s="219"/>
      <c r="Q73" s="216"/>
      <c r="R73" s="217"/>
      <c r="S73" s="218"/>
      <c r="T73" s="219"/>
    </row>
    <row r="74" spans="1:20" ht="12.75">
      <c r="A74" s="1521" t="s">
        <v>316</v>
      </c>
      <c r="B74" s="1522" t="s">
        <v>175</v>
      </c>
      <c r="C74" s="306" t="s">
        <v>176</v>
      </c>
      <c r="D74" s="307">
        <f t="shared" si="1"/>
        <v>0.23</v>
      </c>
      <c r="E74" s="172"/>
      <c r="F74" s="313"/>
      <c r="G74" s="173"/>
      <c r="H74" s="310">
        <f t="shared" si="3"/>
        <v>0.23</v>
      </c>
      <c r="I74" s="765">
        <v>0.23</v>
      </c>
      <c r="J74" s="315">
        <v>0</v>
      </c>
      <c r="K74" s="172"/>
      <c r="L74" s="313"/>
      <c r="M74" s="173"/>
      <c r="N74" s="172"/>
      <c r="O74" s="313"/>
      <c r="P74" s="173"/>
      <c r="Q74" s="170"/>
      <c r="R74" s="171"/>
      <c r="S74" s="172"/>
      <c r="T74" s="173"/>
    </row>
    <row r="75" spans="1:20" ht="12.75">
      <c r="A75" s="1521"/>
      <c r="B75" s="1522"/>
      <c r="C75" s="306" t="s">
        <v>93</v>
      </c>
      <c r="D75" s="307">
        <f t="shared" si="1"/>
        <v>221.539</v>
      </c>
      <c r="E75" s="308"/>
      <c r="F75" s="388"/>
      <c r="G75" s="173"/>
      <c r="H75" s="310">
        <f t="shared" si="3"/>
        <v>221.539</v>
      </c>
      <c r="I75" s="765">
        <v>221.539</v>
      </c>
      <c r="J75" s="315">
        <v>0</v>
      </c>
      <c r="K75" s="308"/>
      <c r="L75" s="388"/>
      <c r="M75" s="173"/>
      <c r="N75" s="172"/>
      <c r="O75" s="313"/>
      <c r="P75" s="173"/>
      <c r="Q75" s="170"/>
      <c r="R75" s="171"/>
      <c r="S75" s="172"/>
      <c r="T75" s="173"/>
    </row>
    <row r="76" spans="1:20" ht="12.75">
      <c r="A76" s="1521" t="s">
        <v>317</v>
      </c>
      <c r="B76" s="1522" t="s">
        <v>178</v>
      </c>
      <c r="C76" s="306" t="s">
        <v>166</v>
      </c>
      <c r="D76" s="307">
        <f t="shared" si="1"/>
        <v>0.303</v>
      </c>
      <c r="E76" s="308"/>
      <c r="F76" s="388"/>
      <c r="G76" s="173"/>
      <c r="H76" s="310">
        <f t="shared" si="3"/>
        <v>0.303</v>
      </c>
      <c r="I76" s="765">
        <v>0.303</v>
      </c>
      <c r="J76" s="315">
        <v>0</v>
      </c>
      <c r="K76" s="308"/>
      <c r="L76" s="388"/>
      <c r="M76" s="173"/>
      <c r="N76" s="172"/>
      <c r="O76" s="313"/>
      <c r="P76" s="173"/>
      <c r="Q76" s="170"/>
      <c r="R76" s="171"/>
      <c r="S76" s="172"/>
      <c r="T76" s="173"/>
    </row>
    <row r="77" spans="1:20" ht="12.75">
      <c r="A77" s="1521"/>
      <c r="B77" s="1522"/>
      <c r="C77" s="306" t="s">
        <v>93</v>
      </c>
      <c r="D77" s="307">
        <f t="shared" si="1"/>
        <v>329.42999999999995</v>
      </c>
      <c r="E77" s="308"/>
      <c r="F77" s="309"/>
      <c r="G77" s="173"/>
      <c r="H77" s="310">
        <f t="shared" si="3"/>
        <v>329.42999999999995</v>
      </c>
      <c r="I77" s="765">
        <v>329.42999999999995</v>
      </c>
      <c r="J77" s="315">
        <v>0</v>
      </c>
      <c r="K77" s="308"/>
      <c r="L77" s="309"/>
      <c r="M77" s="173"/>
      <c r="N77" s="172"/>
      <c r="O77" s="313"/>
      <c r="P77" s="173"/>
      <c r="Q77" s="170"/>
      <c r="R77" s="171"/>
      <c r="S77" s="172"/>
      <c r="T77" s="173"/>
    </row>
    <row r="78" spans="1:20" ht="12.75">
      <c r="A78" s="1521" t="s">
        <v>318</v>
      </c>
      <c r="B78" s="1522" t="s">
        <v>180</v>
      </c>
      <c r="C78" s="306" t="s">
        <v>166</v>
      </c>
      <c r="D78" s="307">
        <f t="shared" si="1"/>
        <v>0.856</v>
      </c>
      <c r="E78" s="308"/>
      <c r="F78" s="309"/>
      <c r="G78" s="173"/>
      <c r="H78" s="310">
        <f t="shared" si="3"/>
        <v>0.856</v>
      </c>
      <c r="I78" s="765">
        <v>0.856</v>
      </c>
      <c r="J78" s="315">
        <v>0</v>
      </c>
      <c r="K78" s="308"/>
      <c r="L78" s="309"/>
      <c r="M78" s="173"/>
      <c r="N78" s="172"/>
      <c r="O78" s="313"/>
      <c r="P78" s="173"/>
      <c r="Q78" s="170"/>
      <c r="R78" s="171"/>
      <c r="S78" s="172"/>
      <c r="T78" s="173"/>
    </row>
    <row r="79" spans="1:20" ht="12.75">
      <c r="A79" s="1521"/>
      <c r="B79" s="1522"/>
      <c r="C79" s="306" t="s">
        <v>93</v>
      </c>
      <c r="D79" s="307">
        <f t="shared" si="1"/>
        <v>894.3000000000001</v>
      </c>
      <c r="E79" s="308"/>
      <c r="F79" s="309"/>
      <c r="G79" s="173"/>
      <c r="H79" s="310">
        <f t="shared" si="3"/>
        <v>894.3000000000001</v>
      </c>
      <c r="I79" s="314">
        <v>894.3000000000001</v>
      </c>
      <c r="J79" s="315">
        <v>0</v>
      </c>
      <c r="K79" s="308"/>
      <c r="L79" s="309"/>
      <c r="M79" s="173"/>
      <c r="N79" s="172"/>
      <c r="O79" s="313"/>
      <c r="P79" s="173"/>
      <c r="Q79" s="170"/>
      <c r="R79" s="171"/>
      <c r="S79" s="172"/>
      <c r="T79" s="173"/>
    </row>
    <row r="80" spans="1:20" ht="12.75">
      <c r="A80" s="1521" t="s">
        <v>319</v>
      </c>
      <c r="B80" s="1522" t="s">
        <v>182</v>
      </c>
      <c r="C80" s="306" t="s">
        <v>166</v>
      </c>
      <c r="D80" s="307">
        <f aca="true" t="shared" si="4" ref="D80:D97">H80</f>
        <v>0.42</v>
      </c>
      <c r="E80" s="308"/>
      <c r="F80" s="309"/>
      <c r="G80" s="173"/>
      <c r="H80" s="310">
        <f>I80+J80</f>
        <v>0.42</v>
      </c>
      <c r="I80" s="314">
        <v>0.42</v>
      </c>
      <c r="J80" s="315">
        <v>0</v>
      </c>
      <c r="K80" s="308"/>
      <c r="L80" s="309"/>
      <c r="M80" s="173"/>
      <c r="N80" s="172"/>
      <c r="O80" s="313"/>
      <c r="P80" s="173"/>
      <c r="Q80" s="170"/>
      <c r="R80" s="171"/>
      <c r="S80" s="172"/>
      <c r="T80" s="173"/>
    </row>
    <row r="81" spans="1:20" ht="13.5" thickBot="1">
      <c r="A81" s="1514"/>
      <c r="B81" s="1523"/>
      <c r="C81" s="317" t="s">
        <v>93</v>
      </c>
      <c r="D81" s="318">
        <f t="shared" si="4"/>
        <v>582.7728</v>
      </c>
      <c r="E81" s="222"/>
      <c r="F81" s="389"/>
      <c r="G81" s="223"/>
      <c r="H81" s="345">
        <f t="shared" si="3"/>
        <v>582.7728</v>
      </c>
      <c r="I81" s="346">
        <v>582.7728</v>
      </c>
      <c r="J81" s="354">
        <v>0</v>
      </c>
      <c r="K81" s="222"/>
      <c r="L81" s="389"/>
      <c r="M81" s="223"/>
      <c r="N81" s="222"/>
      <c r="O81" s="389"/>
      <c r="P81" s="223"/>
      <c r="Q81" s="220"/>
      <c r="R81" s="221"/>
      <c r="S81" s="222"/>
      <c r="T81" s="223"/>
    </row>
    <row r="82" spans="1:20" ht="12.75">
      <c r="A82" s="1509" t="s">
        <v>130</v>
      </c>
      <c r="B82" s="1511" t="s">
        <v>183</v>
      </c>
      <c r="C82" s="341" t="s">
        <v>104</v>
      </c>
      <c r="D82" s="322">
        <f t="shared" si="4"/>
        <v>27</v>
      </c>
      <c r="E82" s="189"/>
      <c r="F82" s="291"/>
      <c r="G82" s="190"/>
      <c r="H82" s="331">
        <f t="shared" si="3"/>
        <v>27</v>
      </c>
      <c r="I82" s="332">
        <v>27</v>
      </c>
      <c r="J82" s="333">
        <v>0</v>
      </c>
      <c r="K82" s="189"/>
      <c r="L82" s="291"/>
      <c r="M82" s="190"/>
      <c r="N82" s="189"/>
      <c r="O82" s="342"/>
      <c r="P82" s="190"/>
      <c r="Q82" s="187"/>
      <c r="R82" s="188"/>
      <c r="S82" s="189"/>
      <c r="T82" s="190"/>
    </row>
    <row r="83" spans="1:20" ht="13.5" thickBot="1">
      <c r="A83" s="1510"/>
      <c r="B83" s="1512"/>
      <c r="C83" s="317" t="s">
        <v>93</v>
      </c>
      <c r="D83" s="318">
        <f t="shared" si="4"/>
        <v>91.125</v>
      </c>
      <c r="E83" s="193"/>
      <c r="F83" s="344"/>
      <c r="G83" s="194"/>
      <c r="H83" s="345">
        <f t="shared" si="3"/>
        <v>91.125</v>
      </c>
      <c r="I83" s="346">
        <v>91.125</v>
      </c>
      <c r="J83" s="354">
        <v>0</v>
      </c>
      <c r="K83" s="185"/>
      <c r="L83" s="344"/>
      <c r="M83" s="194"/>
      <c r="N83" s="193"/>
      <c r="O83" s="347"/>
      <c r="P83" s="194"/>
      <c r="Q83" s="191"/>
      <c r="R83" s="192"/>
      <c r="S83" s="193"/>
      <c r="T83" s="194"/>
    </row>
    <row r="84" spans="1:20" ht="12.75">
      <c r="A84" s="1513" t="s">
        <v>131</v>
      </c>
      <c r="B84" s="1515" t="s">
        <v>320</v>
      </c>
      <c r="C84" s="341" t="s">
        <v>104</v>
      </c>
      <c r="D84" s="322">
        <f t="shared" si="4"/>
        <v>1355</v>
      </c>
      <c r="E84" s="197"/>
      <c r="F84" s="348"/>
      <c r="G84" s="198"/>
      <c r="H84" s="324">
        <f t="shared" si="3"/>
        <v>1355</v>
      </c>
      <c r="I84" s="325">
        <f>1089+266</f>
        <v>1355</v>
      </c>
      <c r="J84" s="326">
        <v>0</v>
      </c>
      <c r="K84" s="197"/>
      <c r="L84" s="348"/>
      <c r="M84" s="198"/>
      <c r="N84" s="197"/>
      <c r="O84" s="349"/>
      <c r="P84" s="198"/>
      <c r="Q84" s="195"/>
      <c r="R84" s="196"/>
      <c r="S84" s="197"/>
      <c r="T84" s="198"/>
    </row>
    <row r="85" spans="1:20" ht="13.5" thickBot="1">
      <c r="A85" s="1514"/>
      <c r="B85" s="1516"/>
      <c r="C85" s="317" t="s">
        <v>93</v>
      </c>
      <c r="D85" s="343">
        <f t="shared" si="4"/>
        <v>1292.102</v>
      </c>
      <c r="E85" s="185"/>
      <c r="F85" s="340"/>
      <c r="G85" s="186"/>
      <c r="H85" s="345">
        <f t="shared" si="3"/>
        <v>1292.102</v>
      </c>
      <c r="I85" s="346">
        <f>1038+254.102</f>
        <v>1292.102</v>
      </c>
      <c r="J85" s="354">
        <v>0</v>
      </c>
      <c r="K85" s="185"/>
      <c r="L85" s="340"/>
      <c r="M85" s="186"/>
      <c r="N85" s="185"/>
      <c r="O85" s="340"/>
      <c r="P85" s="186"/>
      <c r="Q85" s="199"/>
      <c r="R85" s="184"/>
      <c r="S85" s="185"/>
      <c r="T85" s="186"/>
    </row>
    <row r="86" spans="1:21" ht="13.5" thickBot="1">
      <c r="A86" s="390" t="s">
        <v>184</v>
      </c>
      <c r="B86" s="414" t="s">
        <v>185</v>
      </c>
      <c r="C86" s="391" t="s">
        <v>93</v>
      </c>
      <c r="D86" s="377">
        <f t="shared" si="4"/>
        <v>1387.963</v>
      </c>
      <c r="E86" s="226"/>
      <c r="F86" s="392"/>
      <c r="G86" s="393"/>
      <c r="H86" s="394">
        <f t="shared" si="3"/>
        <v>1387.963</v>
      </c>
      <c r="I86" s="395">
        <f>I88+I90+I92</f>
        <v>1387.963</v>
      </c>
      <c r="J86" s="396">
        <f>J88+J90+J92</f>
        <v>0</v>
      </c>
      <c r="K86" s="226"/>
      <c r="L86" s="392"/>
      <c r="M86" s="393"/>
      <c r="N86" s="226"/>
      <c r="O86" s="397"/>
      <c r="P86" s="393"/>
      <c r="Q86" s="224"/>
      <c r="R86" s="225"/>
      <c r="S86" s="226"/>
      <c r="T86" s="227"/>
      <c r="U86" s="1224"/>
    </row>
    <row r="87" spans="1:20" ht="12.75">
      <c r="A87" s="1517">
        <v>25</v>
      </c>
      <c r="B87" s="1519" t="s">
        <v>321</v>
      </c>
      <c r="C87" s="398" t="s">
        <v>166</v>
      </c>
      <c r="D87" s="356">
        <f t="shared" si="4"/>
        <v>2.002</v>
      </c>
      <c r="E87" s="230"/>
      <c r="F87" s="399"/>
      <c r="G87" s="400"/>
      <c r="H87" s="324">
        <f t="shared" si="3"/>
        <v>2.002</v>
      </c>
      <c r="I87" s="325">
        <v>2.002</v>
      </c>
      <c r="J87" s="326">
        <v>0</v>
      </c>
      <c r="K87" s="230"/>
      <c r="L87" s="399"/>
      <c r="M87" s="400"/>
      <c r="N87" s="230"/>
      <c r="O87" s="401"/>
      <c r="P87" s="400"/>
      <c r="Q87" s="228"/>
      <c r="R87" s="229"/>
      <c r="S87" s="230"/>
      <c r="T87" s="231"/>
    </row>
    <row r="88" spans="1:20" ht="13.5" thickBot="1">
      <c r="A88" s="1518"/>
      <c r="B88" s="1520"/>
      <c r="C88" s="402" t="s">
        <v>93</v>
      </c>
      <c r="D88" s="318">
        <f t="shared" si="4"/>
        <v>518.718</v>
      </c>
      <c r="E88" s="234"/>
      <c r="F88" s="403"/>
      <c r="G88" s="404"/>
      <c r="H88" s="345">
        <f t="shared" si="3"/>
        <v>518.718</v>
      </c>
      <c r="I88" s="346">
        <v>518.718</v>
      </c>
      <c r="J88" s="354">
        <v>0</v>
      </c>
      <c r="K88" s="234"/>
      <c r="L88" s="403"/>
      <c r="M88" s="404"/>
      <c r="N88" s="234"/>
      <c r="O88" s="405"/>
      <c r="P88" s="404"/>
      <c r="Q88" s="232"/>
      <c r="R88" s="233"/>
      <c r="S88" s="234"/>
      <c r="T88" s="235"/>
    </row>
    <row r="89" spans="1:20" ht="12.75">
      <c r="A89" s="1497">
        <v>26</v>
      </c>
      <c r="B89" s="1499" t="s">
        <v>322</v>
      </c>
      <c r="C89" s="406" t="s">
        <v>366</v>
      </c>
      <c r="D89" s="322">
        <f t="shared" si="4"/>
        <v>1.889</v>
      </c>
      <c r="E89" s="238"/>
      <c r="F89" s="407"/>
      <c r="G89" s="408"/>
      <c r="H89" s="331">
        <f t="shared" si="3"/>
        <v>1.889</v>
      </c>
      <c r="I89" s="332">
        <v>1.889</v>
      </c>
      <c r="J89" s="333">
        <v>0</v>
      </c>
      <c r="K89" s="238"/>
      <c r="L89" s="407"/>
      <c r="M89" s="408"/>
      <c r="N89" s="238"/>
      <c r="O89" s="409"/>
      <c r="P89" s="408"/>
      <c r="Q89" s="236"/>
      <c r="R89" s="237"/>
      <c r="S89" s="238"/>
      <c r="T89" s="239"/>
    </row>
    <row r="90" spans="1:20" ht="13.5" thickBot="1">
      <c r="A90" s="1498"/>
      <c r="B90" s="1500"/>
      <c r="C90" s="402" t="s">
        <v>93</v>
      </c>
      <c r="D90" s="318">
        <f t="shared" si="4"/>
        <v>585.344</v>
      </c>
      <c r="E90" s="242"/>
      <c r="F90" s="410"/>
      <c r="G90" s="404"/>
      <c r="H90" s="345">
        <f t="shared" si="3"/>
        <v>585.344</v>
      </c>
      <c r="I90" s="346">
        <v>585.344</v>
      </c>
      <c r="J90" s="354">
        <v>0</v>
      </c>
      <c r="K90" s="234"/>
      <c r="L90" s="410"/>
      <c r="M90" s="411"/>
      <c r="N90" s="242"/>
      <c r="O90" s="412"/>
      <c r="P90" s="411"/>
      <c r="Q90" s="240"/>
      <c r="R90" s="241"/>
      <c r="S90" s="242"/>
      <c r="T90" s="243"/>
    </row>
    <row r="91" spans="1:20" ht="12.75">
      <c r="A91" s="1501" t="s">
        <v>323</v>
      </c>
      <c r="B91" s="1503" t="s">
        <v>186</v>
      </c>
      <c r="C91" s="413" t="s">
        <v>366</v>
      </c>
      <c r="D91" s="322">
        <f t="shared" si="4"/>
        <v>0.152</v>
      </c>
      <c r="E91" s="230"/>
      <c r="F91" s="399"/>
      <c r="G91" s="400"/>
      <c r="H91" s="324">
        <f t="shared" si="3"/>
        <v>0.152</v>
      </c>
      <c r="I91" s="325">
        <v>0.152</v>
      </c>
      <c r="J91" s="326">
        <v>0</v>
      </c>
      <c r="K91" s="230"/>
      <c r="L91" s="399"/>
      <c r="M91" s="400"/>
      <c r="N91" s="230"/>
      <c r="O91" s="401"/>
      <c r="P91" s="400"/>
      <c r="Q91" s="228"/>
      <c r="R91" s="229"/>
      <c r="S91" s="230"/>
      <c r="T91" s="231"/>
    </row>
    <row r="92" spans="1:20" ht="13.5" thickBot="1">
      <c r="A92" s="1502"/>
      <c r="B92" s="1504"/>
      <c r="C92" s="402" t="s">
        <v>93</v>
      </c>
      <c r="D92" s="318">
        <f t="shared" si="4"/>
        <v>283.901</v>
      </c>
      <c r="E92" s="234"/>
      <c r="F92" s="403"/>
      <c r="G92" s="404"/>
      <c r="H92" s="345">
        <f t="shared" si="3"/>
        <v>283.901</v>
      </c>
      <c r="I92" s="346">
        <f>163.675+78.687+41.539</f>
        <v>283.901</v>
      </c>
      <c r="J92" s="354">
        <v>0</v>
      </c>
      <c r="K92" s="234"/>
      <c r="L92" s="403"/>
      <c r="M92" s="404"/>
      <c r="N92" s="234"/>
      <c r="O92" s="405"/>
      <c r="P92" s="404"/>
      <c r="Q92" s="232"/>
      <c r="R92" s="233"/>
      <c r="S92" s="234"/>
      <c r="T92" s="235"/>
    </row>
    <row r="93" spans="1:20" ht="50.25" customHeight="1" thickBot="1">
      <c r="A93" s="1363" t="s">
        <v>187</v>
      </c>
      <c r="B93" s="1364" t="s">
        <v>188</v>
      </c>
      <c r="C93" s="415" t="s">
        <v>93</v>
      </c>
      <c r="D93" s="1365">
        <f t="shared" si="4"/>
        <v>105.2655</v>
      </c>
      <c r="E93" s="725"/>
      <c r="F93" s="726"/>
      <c r="G93" s="727"/>
      <c r="H93" s="417">
        <f>I93+J93</f>
        <v>105.2655</v>
      </c>
      <c r="I93" s="418">
        <f>I94+I95</f>
        <v>0</v>
      </c>
      <c r="J93" s="419">
        <f>J94+J95</f>
        <v>105.2655</v>
      </c>
      <c r="K93" s="250"/>
      <c r="L93" s="392"/>
      <c r="M93" s="393"/>
      <c r="N93" s="226"/>
      <c r="O93" s="397"/>
      <c r="P93" s="393"/>
      <c r="Q93" s="224"/>
      <c r="R93" s="225"/>
      <c r="S93" s="226"/>
      <c r="T93" s="227"/>
    </row>
    <row r="94" spans="1:20" ht="26.25" thickBot="1">
      <c r="A94" s="1360" t="s">
        <v>324</v>
      </c>
      <c r="B94" s="1361" t="s">
        <v>332</v>
      </c>
      <c r="C94" s="421" t="s">
        <v>93</v>
      </c>
      <c r="D94" s="1362">
        <f t="shared" si="4"/>
        <v>0</v>
      </c>
      <c r="E94" s="970"/>
      <c r="F94" s="971"/>
      <c r="G94" s="976"/>
      <c r="H94" s="977">
        <f>I94+J94</f>
        <v>0</v>
      </c>
      <c r="I94" s="978">
        <v>0</v>
      </c>
      <c r="J94" s="979">
        <v>0</v>
      </c>
      <c r="K94" s="423"/>
      <c r="L94" s="422"/>
      <c r="M94" s="424"/>
      <c r="N94" s="246"/>
      <c r="O94" s="425"/>
      <c r="P94" s="424"/>
      <c r="Q94" s="244"/>
      <c r="R94" s="245"/>
      <c r="S94" s="246"/>
      <c r="T94" s="247"/>
    </row>
    <row r="95" spans="1:20" ht="26.25" thickBot="1">
      <c r="A95" s="420" t="s">
        <v>325</v>
      </c>
      <c r="B95" s="553" t="s">
        <v>333</v>
      </c>
      <c r="C95" s="968" t="s">
        <v>93</v>
      </c>
      <c r="D95" s="969">
        <f t="shared" si="4"/>
        <v>105.2655</v>
      </c>
      <c r="E95" s="970"/>
      <c r="F95" s="971"/>
      <c r="G95" s="972"/>
      <c r="H95" s="973">
        <f>I95+J95</f>
        <v>105.2655</v>
      </c>
      <c r="I95" s="974">
        <v>0</v>
      </c>
      <c r="J95" s="975">
        <v>105.2655</v>
      </c>
      <c r="K95" s="246"/>
      <c r="L95" s="422"/>
      <c r="M95" s="424"/>
      <c r="N95" s="246"/>
      <c r="O95" s="425"/>
      <c r="P95" s="424"/>
      <c r="Q95" s="244"/>
      <c r="R95" s="245"/>
      <c r="S95" s="246"/>
      <c r="T95" s="247"/>
    </row>
    <row r="96" spans="1:20" ht="26.25" thickBot="1">
      <c r="A96" s="374" t="s">
        <v>326</v>
      </c>
      <c r="B96" s="554" t="s">
        <v>189</v>
      </c>
      <c r="C96" s="980" t="s">
        <v>93</v>
      </c>
      <c r="D96" s="981">
        <f t="shared" si="4"/>
        <v>3585.68222</v>
      </c>
      <c r="E96" s="982"/>
      <c r="F96" s="983"/>
      <c r="G96" s="984"/>
      <c r="H96" s="985">
        <f t="shared" si="3"/>
        <v>3585.68222</v>
      </c>
      <c r="I96" s="986">
        <v>3585.68222</v>
      </c>
      <c r="J96" s="987">
        <v>0</v>
      </c>
      <c r="K96" s="254"/>
      <c r="L96" s="426"/>
      <c r="M96" s="416"/>
      <c r="N96" s="250"/>
      <c r="O96" s="428"/>
      <c r="P96" s="416"/>
      <c r="Q96" s="248"/>
      <c r="R96" s="249"/>
      <c r="S96" s="250"/>
      <c r="T96" s="251"/>
    </row>
    <row r="97" spans="1:21" ht="13.5" thickBot="1">
      <c r="A97" s="429"/>
      <c r="B97" s="555" t="s">
        <v>190</v>
      </c>
      <c r="C97" s="980" t="s">
        <v>93</v>
      </c>
      <c r="D97" s="981">
        <f t="shared" si="4"/>
        <v>35856.382420999995</v>
      </c>
      <c r="E97" s="988"/>
      <c r="F97" s="989"/>
      <c r="G97" s="727"/>
      <c r="H97" s="417">
        <f>I97+J97</f>
        <v>35856.382420999995</v>
      </c>
      <c r="I97" s="418">
        <f>I93+I86+I71+I12+I96</f>
        <v>29048.006102999996</v>
      </c>
      <c r="J97" s="418">
        <f>J93+J86+J71+J12</f>
        <v>6808.376318</v>
      </c>
      <c r="K97" s="254"/>
      <c r="L97" s="430"/>
      <c r="M97" s="427"/>
      <c r="N97" s="254"/>
      <c r="O97" s="431"/>
      <c r="P97" s="427"/>
      <c r="Q97" s="252"/>
      <c r="R97" s="253"/>
      <c r="S97" s="254"/>
      <c r="T97" s="255"/>
      <c r="U97" s="1236"/>
    </row>
    <row r="98" spans="1:20" ht="22.5" customHeight="1" thickBot="1">
      <c r="A98" s="1505" t="s">
        <v>191</v>
      </c>
      <c r="B98" s="1505"/>
      <c r="C98" s="1505"/>
      <c r="D98" s="1505"/>
      <c r="E98" s="1505"/>
      <c r="F98" s="1505"/>
      <c r="G98" s="1505"/>
      <c r="H98" s="1505"/>
      <c r="I98" s="1505"/>
      <c r="J98" s="1505"/>
      <c r="K98" s="1505"/>
      <c r="L98" s="1505"/>
      <c r="M98" s="1505"/>
      <c r="N98" s="1505"/>
      <c r="O98" s="1506"/>
      <c r="P98" s="1505"/>
      <c r="Q98" s="42"/>
      <c r="R98" s="42"/>
      <c r="S98" s="42"/>
      <c r="T98" s="42"/>
    </row>
    <row r="99" spans="1:20" ht="12.75">
      <c r="A99" s="1507" t="s">
        <v>109</v>
      </c>
      <c r="B99" s="1491" t="s">
        <v>327</v>
      </c>
      <c r="C99" s="432" t="s">
        <v>104</v>
      </c>
      <c r="D99" s="433">
        <f>I99</f>
        <v>378</v>
      </c>
      <c r="E99" s="273"/>
      <c r="F99" s="432"/>
      <c r="G99" s="434"/>
      <c r="H99" s="435">
        <f>I99</f>
        <v>378</v>
      </c>
      <c r="I99" s="436">
        <v>378</v>
      </c>
      <c r="J99" s="437"/>
      <c r="K99" s="273"/>
      <c r="L99" s="432"/>
      <c r="M99" s="434"/>
      <c r="N99" s="256"/>
      <c r="O99" s="257"/>
      <c r="P99" s="440"/>
      <c r="Q99" s="256"/>
      <c r="R99" s="257"/>
      <c r="S99" s="256"/>
      <c r="T99" s="257"/>
    </row>
    <row r="100" spans="1:20" ht="13.5" thickBot="1">
      <c r="A100" s="1508"/>
      <c r="B100" s="1492"/>
      <c r="C100" s="441" t="s">
        <v>93</v>
      </c>
      <c r="D100" s="442">
        <f>I100</f>
        <v>155.161</v>
      </c>
      <c r="E100" s="443"/>
      <c r="F100" s="441"/>
      <c r="G100" s="444"/>
      <c r="H100" s="445">
        <f>I100</f>
        <v>155.161</v>
      </c>
      <c r="I100" s="446">
        <v>155.161</v>
      </c>
      <c r="J100" s="447"/>
      <c r="K100" s="443"/>
      <c r="L100" s="441"/>
      <c r="M100" s="444"/>
      <c r="N100" s="258"/>
      <c r="O100" s="266"/>
      <c r="P100" s="449"/>
      <c r="Q100" s="258"/>
      <c r="R100" s="259"/>
      <c r="S100" s="258"/>
      <c r="T100" s="259"/>
    </row>
    <row r="101" spans="1:20" ht="12.75">
      <c r="A101" s="1495" t="s">
        <v>110</v>
      </c>
      <c r="B101" s="1491" t="s">
        <v>192</v>
      </c>
      <c r="C101" s="432" t="s">
        <v>104</v>
      </c>
      <c r="D101" s="433">
        <f aca="true" t="shared" si="5" ref="D101:D153">H101</f>
        <v>0</v>
      </c>
      <c r="E101" s="273"/>
      <c r="F101" s="439"/>
      <c r="G101" s="434"/>
      <c r="H101" s="450"/>
      <c r="I101" s="451"/>
      <c r="J101" s="452"/>
      <c r="K101" s="273"/>
      <c r="L101" s="439"/>
      <c r="M101" s="434"/>
      <c r="N101" s="256"/>
      <c r="O101" s="264"/>
      <c r="P101" s="432"/>
      <c r="Q101" s="260"/>
      <c r="R101" s="256"/>
      <c r="S101" s="260"/>
      <c r="T101" s="256"/>
    </row>
    <row r="102" spans="1:20" ht="13.5" thickBot="1">
      <c r="A102" s="1485"/>
      <c r="B102" s="1492"/>
      <c r="C102" s="454" t="s">
        <v>93</v>
      </c>
      <c r="D102" s="442">
        <f t="shared" si="5"/>
        <v>0</v>
      </c>
      <c r="E102" s="455"/>
      <c r="F102" s="456"/>
      <c r="G102" s="457"/>
      <c r="H102" s="103"/>
      <c r="I102" s="104"/>
      <c r="J102" s="458"/>
      <c r="K102" s="455"/>
      <c r="L102" s="456"/>
      <c r="M102" s="457"/>
      <c r="N102" s="262"/>
      <c r="O102" s="266"/>
      <c r="P102" s="454"/>
      <c r="Q102" s="261"/>
      <c r="R102" s="262"/>
      <c r="S102" s="261"/>
      <c r="T102" s="262"/>
    </row>
    <row r="103" spans="1:20" ht="12.75">
      <c r="A103" s="1495" t="s">
        <v>111</v>
      </c>
      <c r="B103" s="1491" t="s">
        <v>193</v>
      </c>
      <c r="C103" s="432" t="s">
        <v>104</v>
      </c>
      <c r="D103" s="433">
        <f t="shared" si="5"/>
        <v>0</v>
      </c>
      <c r="E103" s="273"/>
      <c r="F103" s="439"/>
      <c r="G103" s="434"/>
      <c r="H103" s="450"/>
      <c r="I103" s="451"/>
      <c r="J103" s="452"/>
      <c r="K103" s="273"/>
      <c r="L103" s="439"/>
      <c r="M103" s="434"/>
      <c r="N103" s="256"/>
      <c r="O103" s="257"/>
      <c r="P103" s="432"/>
      <c r="Q103" s="260"/>
      <c r="R103" s="256"/>
      <c r="S103" s="260"/>
      <c r="T103" s="256"/>
    </row>
    <row r="104" spans="1:20" ht="13.5" thickBot="1">
      <c r="A104" s="1485"/>
      <c r="B104" s="1492"/>
      <c r="C104" s="460" t="s">
        <v>93</v>
      </c>
      <c r="D104" s="442">
        <f t="shared" si="5"/>
        <v>0</v>
      </c>
      <c r="E104" s="455"/>
      <c r="F104" s="456"/>
      <c r="G104" s="457"/>
      <c r="H104" s="103"/>
      <c r="I104" s="104"/>
      <c r="J104" s="458"/>
      <c r="K104" s="455"/>
      <c r="L104" s="456"/>
      <c r="M104" s="457"/>
      <c r="N104" s="262"/>
      <c r="O104" s="266"/>
      <c r="P104" s="454"/>
      <c r="Q104" s="261"/>
      <c r="R104" s="262"/>
      <c r="S104" s="261"/>
      <c r="T104" s="262"/>
    </row>
    <row r="105" spans="1:20" ht="12.75">
      <c r="A105" s="1495" t="s">
        <v>112</v>
      </c>
      <c r="B105" s="1491" t="s">
        <v>328</v>
      </c>
      <c r="C105" s="432" t="s">
        <v>148</v>
      </c>
      <c r="D105" s="433">
        <f t="shared" si="5"/>
        <v>0</v>
      </c>
      <c r="E105" s="461"/>
      <c r="F105" s="462"/>
      <c r="G105" s="463"/>
      <c r="H105" s="450"/>
      <c r="I105" s="451"/>
      <c r="J105" s="452"/>
      <c r="K105" s="461"/>
      <c r="L105" s="462"/>
      <c r="M105" s="463"/>
      <c r="N105" s="263"/>
      <c r="O105" s="264"/>
      <c r="P105" s="465"/>
      <c r="Q105" s="263"/>
      <c r="R105" s="264"/>
      <c r="S105" s="263"/>
      <c r="T105" s="264"/>
    </row>
    <row r="106" spans="1:20" ht="13.5" thickBot="1">
      <c r="A106" s="1485"/>
      <c r="B106" s="1492"/>
      <c r="C106" s="460" t="s">
        <v>93</v>
      </c>
      <c r="D106" s="442">
        <f t="shared" si="5"/>
        <v>0</v>
      </c>
      <c r="E106" s="455"/>
      <c r="F106" s="460"/>
      <c r="G106" s="466"/>
      <c r="H106" s="103"/>
      <c r="I106" s="104"/>
      <c r="J106" s="458"/>
      <c r="K106" s="455"/>
      <c r="L106" s="460"/>
      <c r="M106" s="466"/>
      <c r="N106" s="262"/>
      <c r="O106" s="265"/>
      <c r="P106" s="467"/>
      <c r="Q106" s="262"/>
      <c r="R106" s="265"/>
      <c r="S106" s="262"/>
      <c r="T106" s="265"/>
    </row>
    <row r="107" spans="1:20" ht="12.75">
      <c r="A107" s="1495" t="s">
        <v>113</v>
      </c>
      <c r="B107" s="1491" t="s">
        <v>194</v>
      </c>
      <c r="C107" s="432" t="s">
        <v>104</v>
      </c>
      <c r="D107" s="433">
        <f t="shared" si="5"/>
        <v>0</v>
      </c>
      <c r="E107" s="273"/>
      <c r="F107" s="432"/>
      <c r="G107" s="434"/>
      <c r="H107" s="450"/>
      <c r="I107" s="451"/>
      <c r="J107" s="452"/>
      <c r="K107" s="273"/>
      <c r="L107" s="432"/>
      <c r="M107" s="434"/>
      <c r="N107" s="256"/>
      <c r="O107" s="257"/>
      <c r="P107" s="440"/>
      <c r="Q107" s="256"/>
      <c r="R107" s="257"/>
      <c r="S107" s="256"/>
      <c r="T107" s="257"/>
    </row>
    <row r="108" spans="1:20" ht="13.5" thickBot="1">
      <c r="A108" s="1485"/>
      <c r="B108" s="1492"/>
      <c r="C108" s="441" t="s">
        <v>93</v>
      </c>
      <c r="D108" s="442">
        <f t="shared" si="5"/>
        <v>0</v>
      </c>
      <c r="E108" s="455"/>
      <c r="F108" s="460"/>
      <c r="G108" s="466"/>
      <c r="H108" s="103"/>
      <c r="I108" s="104"/>
      <c r="J108" s="458"/>
      <c r="K108" s="455"/>
      <c r="L108" s="460"/>
      <c r="M108" s="466"/>
      <c r="N108" s="262"/>
      <c r="O108" s="265"/>
      <c r="P108" s="467"/>
      <c r="Q108" s="262"/>
      <c r="R108" s="265"/>
      <c r="S108" s="262"/>
      <c r="T108" s="265"/>
    </row>
    <row r="109" spans="1:20" ht="12.75">
      <c r="A109" s="1495" t="s">
        <v>114</v>
      </c>
      <c r="B109" s="1491" t="s">
        <v>195</v>
      </c>
      <c r="C109" s="432" t="s">
        <v>166</v>
      </c>
      <c r="D109" s="433">
        <f t="shared" si="5"/>
        <v>0</v>
      </c>
      <c r="E109" s="468"/>
      <c r="F109" s="432"/>
      <c r="G109" s="434"/>
      <c r="H109" s="450"/>
      <c r="I109" s="451"/>
      <c r="J109" s="452"/>
      <c r="K109" s="273"/>
      <c r="L109" s="432"/>
      <c r="M109" s="434"/>
      <c r="N109" s="256"/>
      <c r="O109" s="257"/>
      <c r="P109" s="440"/>
      <c r="Q109" s="256"/>
      <c r="R109" s="257"/>
      <c r="S109" s="256"/>
      <c r="T109" s="257"/>
    </row>
    <row r="110" spans="1:20" ht="13.5" thickBot="1">
      <c r="A110" s="1485"/>
      <c r="B110" s="1492"/>
      <c r="C110" s="460" t="s">
        <v>92</v>
      </c>
      <c r="D110" s="442">
        <f t="shared" si="5"/>
        <v>0</v>
      </c>
      <c r="E110" s="469"/>
      <c r="F110" s="454"/>
      <c r="G110" s="457"/>
      <c r="H110" s="103"/>
      <c r="I110" s="104"/>
      <c r="J110" s="458"/>
      <c r="K110" s="455"/>
      <c r="L110" s="454"/>
      <c r="M110" s="457"/>
      <c r="N110" s="262"/>
      <c r="O110" s="266"/>
      <c r="P110" s="470"/>
      <c r="Q110" s="262"/>
      <c r="R110" s="266"/>
      <c r="S110" s="262"/>
      <c r="T110" s="266"/>
    </row>
    <row r="111" spans="1:20" ht="12.75">
      <c r="A111" s="1493">
        <v>7</v>
      </c>
      <c r="B111" s="1491" t="s">
        <v>196</v>
      </c>
      <c r="C111" s="432" t="s">
        <v>197</v>
      </c>
      <c r="D111" s="433">
        <f t="shared" si="5"/>
        <v>0</v>
      </c>
      <c r="E111" s="461"/>
      <c r="F111" s="462"/>
      <c r="G111" s="463"/>
      <c r="H111" s="450"/>
      <c r="I111" s="451"/>
      <c r="J111" s="452"/>
      <c r="K111" s="461"/>
      <c r="L111" s="462"/>
      <c r="M111" s="463"/>
      <c r="N111" s="263"/>
      <c r="O111" s="264"/>
      <c r="P111" s="465"/>
      <c r="Q111" s="263"/>
      <c r="R111" s="264"/>
      <c r="S111" s="263"/>
      <c r="T111" s="264"/>
    </row>
    <row r="112" spans="1:20" ht="13.5" thickBot="1">
      <c r="A112" s="1494"/>
      <c r="B112" s="1492"/>
      <c r="C112" s="460" t="s">
        <v>93</v>
      </c>
      <c r="D112" s="442">
        <f t="shared" si="5"/>
        <v>0</v>
      </c>
      <c r="E112" s="455"/>
      <c r="F112" s="460"/>
      <c r="G112" s="466"/>
      <c r="H112" s="103"/>
      <c r="I112" s="104"/>
      <c r="J112" s="458"/>
      <c r="K112" s="455"/>
      <c r="L112" s="460"/>
      <c r="M112" s="466"/>
      <c r="N112" s="262"/>
      <c r="O112" s="265"/>
      <c r="P112" s="467"/>
      <c r="Q112" s="262"/>
      <c r="R112" s="265"/>
      <c r="S112" s="262"/>
      <c r="T112" s="265"/>
    </row>
    <row r="113" spans="1:20" ht="12" customHeight="1">
      <c r="A113" s="1489">
        <v>8</v>
      </c>
      <c r="B113" s="1491" t="s">
        <v>329</v>
      </c>
      <c r="C113" s="471" t="s">
        <v>104</v>
      </c>
      <c r="D113" s="433">
        <f t="shared" si="5"/>
        <v>0</v>
      </c>
      <c r="E113" s="273"/>
      <c r="F113" s="432"/>
      <c r="G113" s="434"/>
      <c r="H113" s="450"/>
      <c r="I113" s="451"/>
      <c r="J113" s="452"/>
      <c r="K113" s="273"/>
      <c r="L113" s="432"/>
      <c r="M113" s="434"/>
      <c r="N113" s="256"/>
      <c r="O113" s="257"/>
      <c r="P113" s="440"/>
      <c r="Q113" s="256"/>
      <c r="R113" s="257"/>
      <c r="S113" s="256"/>
      <c r="T113" s="257"/>
    </row>
    <row r="114" spans="1:20" ht="12" customHeight="1" thickBot="1">
      <c r="A114" s="1490"/>
      <c r="B114" s="1492"/>
      <c r="C114" s="472" t="s">
        <v>93</v>
      </c>
      <c r="D114" s="442">
        <f t="shared" si="5"/>
        <v>0</v>
      </c>
      <c r="E114" s="455"/>
      <c r="F114" s="460"/>
      <c r="G114" s="466"/>
      <c r="H114" s="103"/>
      <c r="I114" s="104"/>
      <c r="J114" s="458"/>
      <c r="K114" s="455"/>
      <c r="L114" s="460"/>
      <c r="M114" s="466"/>
      <c r="N114" s="262"/>
      <c r="O114" s="265"/>
      <c r="P114" s="467"/>
      <c r="Q114" s="262"/>
      <c r="R114" s="265"/>
      <c r="S114" s="262"/>
      <c r="T114" s="265"/>
    </row>
    <row r="115" spans="1:20" ht="12" customHeight="1">
      <c r="A115" s="1493">
        <v>9</v>
      </c>
      <c r="B115" s="1491" t="s">
        <v>330</v>
      </c>
      <c r="C115" s="432" t="s">
        <v>198</v>
      </c>
      <c r="D115" s="433">
        <f t="shared" si="5"/>
        <v>0</v>
      </c>
      <c r="E115" s="273"/>
      <c r="F115" s="432"/>
      <c r="G115" s="434"/>
      <c r="H115" s="450"/>
      <c r="I115" s="451"/>
      <c r="J115" s="452"/>
      <c r="K115" s="273"/>
      <c r="L115" s="432"/>
      <c r="M115" s="434"/>
      <c r="N115" s="256"/>
      <c r="O115" s="257"/>
      <c r="P115" s="440"/>
      <c r="Q115" s="256"/>
      <c r="R115" s="257"/>
      <c r="S115" s="256"/>
      <c r="T115" s="257"/>
    </row>
    <row r="116" spans="1:20" ht="12" customHeight="1" thickBot="1">
      <c r="A116" s="1494"/>
      <c r="B116" s="1492"/>
      <c r="C116" s="460" t="s">
        <v>93</v>
      </c>
      <c r="D116" s="442">
        <f t="shared" si="5"/>
        <v>0</v>
      </c>
      <c r="E116" s="455"/>
      <c r="F116" s="460"/>
      <c r="G116" s="466"/>
      <c r="H116" s="103"/>
      <c r="I116" s="104"/>
      <c r="J116" s="458"/>
      <c r="K116" s="455"/>
      <c r="L116" s="460"/>
      <c r="M116" s="466"/>
      <c r="N116" s="262"/>
      <c r="O116" s="265"/>
      <c r="P116" s="467"/>
      <c r="Q116" s="262"/>
      <c r="R116" s="265"/>
      <c r="S116" s="262"/>
      <c r="T116" s="265"/>
    </row>
    <row r="117" spans="1:20" ht="24.75" customHeight="1">
      <c r="A117" s="473" t="s">
        <v>118</v>
      </c>
      <c r="B117" s="1296" t="s">
        <v>199</v>
      </c>
      <c r="C117" s="453" t="s">
        <v>93</v>
      </c>
      <c r="D117" s="433">
        <f t="shared" si="5"/>
        <v>0</v>
      </c>
      <c r="E117" s="273"/>
      <c r="F117" s="474"/>
      <c r="G117" s="475"/>
      <c r="H117" s="476"/>
      <c r="I117" s="476"/>
      <c r="J117" s="477"/>
      <c r="K117" s="273"/>
      <c r="L117" s="474"/>
      <c r="M117" s="475"/>
      <c r="N117" s="256"/>
      <c r="O117" s="257"/>
      <c r="P117" s="478"/>
      <c r="Q117" s="267"/>
      <c r="R117" s="256"/>
      <c r="S117" s="267"/>
      <c r="T117" s="256"/>
    </row>
    <row r="118" spans="1:20" ht="19.5" customHeight="1" thickBot="1">
      <c r="A118" s="479" t="s">
        <v>200</v>
      </c>
      <c r="B118" s="556" t="s">
        <v>201</v>
      </c>
      <c r="C118" s="462" t="s">
        <v>93</v>
      </c>
      <c r="D118" s="442">
        <f t="shared" si="5"/>
        <v>0</v>
      </c>
      <c r="E118" s="461"/>
      <c r="F118" s="480"/>
      <c r="G118" s="481"/>
      <c r="H118" s="482"/>
      <c r="I118" s="482"/>
      <c r="J118" s="483"/>
      <c r="K118" s="461"/>
      <c r="L118" s="480"/>
      <c r="M118" s="481"/>
      <c r="N118" s="263"/>
      <c r="O118" s="264"/>
      <c r="P118" s="481"/>
      <c r="Q118" s="268"/>
      <c r="R118" s="263"/>
      <c r="S118" s="268"/>
      <c r="T118" s="263"/>
    </row>
    <row r="119" spans="1:20" ht="13.5" thickBot="1">
      <c r="A119" s="152" t="s">
        <v>119</v>
      </c>
      <c r="B119" s="557" t="s">
        <v>202</v>
      </c>
      <c r="C119" s="484" t="s">
        <v>93</v>
      </c>
      <c r="D119" s="485">
        <f t="shared" si="5"/>
        <v>31.52552</v>
      </c>
      <c r="E119" s="270"/>
      <c r="F119" s="486"/>
      <c r="G119" s="487"/>
      <c r="H119" s="488">
        <f>I119+J119</f>
        <v>31.52552</v>
      </c>
      <c r="I119" s="489"/>
      <c r="J119" s="490">
        <v>31.52552</v>
      </c>
      <c r="K119" s="270"/>
      <c r="L119" s="486"/>
      <c r="M119" s="487"/>
      <c r="N119" s="270"/>
      <c r="O119" s="491"/>
      <c r="P119" s="487"/>
      <c r="Q119" s="269"/>
      <c r="R119" s="270"/>
      <c r="S119" s="269"/>
      <c r="T119" s="270"/>
    </row>
    <row r="120" spans="1:20" ht="26.25" thickBot="1">
      <c r="A120" s="492" t="s">
        <v>120</v>
      </c>
      <c r="B120" s="558" t="s">
        <v>203</v>
      </c>
      <c r="C120" s="493" t="s">
        <v>93</v>
      </c>
      <c r="D120" s="433">
        <f t="shared" si="5"/>
        <v>0</v>
      </c>
      <c r="E120" s="272"/>
      <c r="F120" s="494"/>
      <c r="G120" s="495"/>
      <c r="H120" s="496"/>
      <c r="I120" s="489"/>
      <c r="J120" s="490">
        <v>0</v>
      </c>
      <c r="K120" s="272"/>
      <c r="L120" s="494"/>
      <c r="M120" s="495"/>
      <c r="N120" s="272"/>
      <c r="O120" s="497"/>
      <c r="P120" s="495"/>
      <c r="Q120" s="271"/>
      <c r="R120" s="272"/>
      <c r="S120" s="271"/>
      <c r="T120" s="272"/>
    </row>
    <row r="121" spans="1:20" ht="30" customHeight="1" thickBot="1">
      <c r="A121" s="154">
        <v>13</v>
      </c>
      <c r="B121" s="559" t="s">
        <v>204</v>
      </c>
      <c r="C121" s="484" t="s">
        <v>93</v>
      </c>
      <c r="D121" s="433">
        <f t="shared" si="5"/>
        <v>1634.19</v>
      </c>
      <c r="E121" s="270"/>
      <c r="F121" s="486"/>
      <c r="G121" s="487"/>
      <c r="H121" s="496">
        <f>I121+J121</f>
        <v>1634.19</v>
      </c>
      <c r="I121" s="489"/>
      <c r="J121" s="490">
        <v>1634.19</v>
      </c>
      <c r="K121" s="270"/>
      <c r="L121" s="486"/>
      <c r="M121" s="487"/>
      <c r="N121" s="270"/>
      <c r="O121" s="491"/>
      <c r="P121" s="487"/>
      <c r="Q121" s="269"/>
      <c r="R121" s="270"/>
      <c r="S121" s="269"/>
      <c r="T121" s="270"/>
    </row>
    <row r="122" spans="1:20" ht="28.5" customHeight="1" thickBot="1">
      <c r="A122" s="154">
        <v>14</v>
      </c>
      <c r="B122" s="559" t="s">
        <v>205</v>
      </c>
      <c r="C122" s="484" t="s">
        <v>93</v>
      </c>
      <c r="D122" s="485">
        <f t="shared" si="5"/>
        <v>3960.06768</v>
      </c>
      <c r="E122" s="270"/>
      <c r="F122" s="486"/>
      <c r="G122" s="487"/>
      <c r="H122" s="488">
        <f>I122+J122</f>
        <v>3960.06768</v>
      </c>
      <c r="I122" s="489"/>
      <c r="J122" s="490">
        <v>3960.06768</v>
      </c>
      <c r="K122" s="270"/>
      <c r="L122" s="486"/>
      <c r="M122" s="487"/>
      <c r="N122" s="270"/>
      <c r="O122" s="491"/>
      <c r="P122" s="487"/>
      <c r="Q122" s="269"/>
      <c r="R122" s="270"/>
      <c r="S122" s="269"/>
      <c r="T122" s="270"/>
    </row>
    <row r="123" spans="1:20" ht="20.25" customHeight="1" thickBot="1">
      <c r="A123" s="492" t="s">
        <v>124</v>
      </c>
      <c r="B123" s="558" t="s">
        <v>206</v>
      </c>
      <c r="C123" s="493" t="s">
        <v>93</v>
      </c>
      <c r="D123" s="485">
        <f t="shared" si="5"/>
        <v>64.41356</v>
      </c>
      <c r="E123" s="272"/>
      <c r="F123" s="494"/>
      <c r="G123" s="495"/>
      <c r="H123" s="488">
        <f>I123+J123</f>
        <v>64.41356</v>
      </c>
      <c r="I123" s="489"/>
      <c r="J123" s="490">
        <v>64.41356</v>
      </c>
      <c r="K123" s="272"/>
      <c r="L123" s="494"/>
      <c r="M123" s="495"/>
      <c r="N123" s="272"/>
      <c r="O123" s="497"/>
      <c r="P123" s="495"/>
      <c r="Q123" s="271"/>
      <c r="R123" s="272"/>
      <c r="S123" s="271"/>
      <c r="T123" s="272"/>
    </row>
    <row r="124" spans="1:20" ht="25.5">
      <c r="A124" s="498">
        <v>16</v>
      </c>
      <c r="B124" s="560" t="s">
        <v>207</v>
      </c>
      <c r="C124" s="432" t="s">
        <v>93</v>
      </c>
      <c r="D124" s="485">
        <f t="shared" si="5"/>
        <v>3365.598</v>
      </c>
      <c r="E124" s="273"/>
      <c r="F124" s="499"/>
      <c r="G124" s="500"/>
      <c r="H124" s="501">
        <f>I124+J124</f>
        <v>3365.598</v>
      </c>
      <c r="I124" s="476"/>
      <c r="J124" s="502">
        <v>3365.598</v>
      </c>
      <c r="K124" s="273"/>
      <c r="L124" s="499"/>
      <c r="M124" s="500"/>
      <c r="N124" s="273"/>
      <c r="O124" s="503"/>
      <c r="P124" s="499"/>
      <c r="Q124" s="273"/>
      <c r="R124" s="273"/>
      <c r="S124" s="273"/>
      <c r="T124" s="273"/>
    </row>
    <row r="125" spans="1:20" ht="13.5" thickBot="1">
      <c r="A125" s="504" t="s">
        <v>208</v>
      </c>
      <c r="B125" s="1297" t="s">
        <v>209</v>
      </c>
      <c r="C125" s="505" t="s">
        <v>92</v>
      </c>
      <c r="D125" s="506">
        <f t="shared" si="5"/>
        <v>0</v>
      </c>
      <c r="E125" s="274"/>
      <c r="F125" s="507"/>
      <c r="G125" s="508"/>
      <c r="H125" s="509"/>
      <c r="I125" s="509"/>
      <c r="J125" s="510"/>
      <c r="K125" s="274"/>
      <c r="L125" s="507"/>
      <c r="M125" s="508"/>
      <c r="N125" s="274"/>
      <c r="O125" s="511"/>
      <c r="P125" s="507"/>
      <c r="Q125" s="274"/>
      <c r="R125" s="274"/>
      <c r="S125" s="274"/>
      <c r="T125" s="274"/>
    </row>
    <row r="126" spans="1:20" ht="12.75">
      <c r="A126" s="1495" t="s">
        <v>210</v>
      </c>
      <c r="B126" s="1496" t="s">
        <v>211</v>
      </c>
      <c r="C126" s="432" t="s">
        <v>104</v>
      </c>
      <c r="D126" s="433">
        <f t="shared" si="5"/>
        <v>0</v>
      </c>
      <c r="E126" s="273"/>
      <c r="F126" s="438"/>
      <c r="G126" s="434"/>
      <c r="H126" s="451"/>
      <c r="I126" s="451"/>
      <c r="J126" s="452"/>
      <c r="K126" s="273"/>
      <c r="L126" s="438"/>
      <c r="M126" s="434"/>
      <c r="N126" s="256"/>
      <c r="O126" s="257"/>
      <c r="P126" s="434"/>
      <c r="Q126" s="256"/>
      <c r="R126" s="256"/>
      <c r="S126" s="256"/>
      <c r="T126" s="256"/>
    </row>
    <row r="127" spans="1:20" ht="13.5" thickBot="1">
      <c r="A127" s="1485"/>
      <c r="B127" s="1486"/>
      <c r="C127" s="454" t="s">
        <v>93</v>
      </c>
      <c r="D127" s="512">
        <f t="shared" si="5"/>
        <v>0</v>
      </c>
      <c r="E127" s="455"/>
      <c r="F127" s="459"/>
      <c r="G127" s="457"/>
      <c r="H127" s="104"/>
      <c r="I127" s="104"/>
      <c r="J127" s="458"/>
      <c r="K127" s="455"/>
      <c r="L127" s="459"/>
      <c r="M127" s="457"/>
      <c r="N127" s="262"/>
      <c r="O127" s="266"/>
      <c r="P127" s="457"/>
      <c r="Q127" s="262"/>
      <c r="R127" s="262"/>
      <c r="S127" s="262"/>
      <c r="T127" s="262"/>
    </row>
    <row r="128" spans="1:20" ht="12.75">
      <c r="A128" s="1487" t="s">
        <v>212</v>
      </c>
      <c r="B128" s="1488" t="s">
        <v>213</v>
      </c>
      <c r="C128" s="462" t="s">
        <v>104</v>
      </c>
      <c r="D128" s="442">
        <f t="shared" si="5"/>
        <v>0</v>
      </c>
      <c r="E128" s="461"/>
      <c r="F128" s="464"/>
      <c r="G128" s="463"/>
      <c r="H128" s="476"/>
      <c r="I128" s="476"/>
      <c r="J128" s="477"/>
      <c r="K128" s="461"/>
      <c r="L128" s="464"/>
      <c r="M128" s="463"/>
      <c r="N128" s="263"/>
      <c r="O128" s="264"/>
      <c r="P128" s="463"/>
      <c r="Q128" s="263"/>
      <c r="R128" s="263"/>
      <c r="S128" s="263"/>
      <c r="T128" s="263"/>
    </row>
    <row r="129" spans="1:20" ht="12.75">
      <c r="A129" s="1480"/>
      <c r="B129" s="1482"/>
      <c r="C129" s="513" t="s">
        <v>42</v>
      </c>
      <c r="D129" s="514">
        <f t="shared" si="5"/>
        <v>0</v>
      </c>
      <c r="E129" s="515"/>
      <c r="F129" s="516"/>
      <c r="G129" s="517"/>
      <c r="H129" s="13"/>
      <c r="I129" s="13"/>
      <c r="J129" s="518"/>
      <c r="K129" s="515"/>
      <c r="L129" s="516"/>
      <c r="M129" s="517"/>
      <c r="N129" s="275"/>
      <c r="O129" s="519"/>
      <c r="P129" s="517"/>
      <c r="Q129" s="275"/>
      <c r="R129" s="275"/>
      <c r="S129" s="275"/>
      <c r="T129" s="275"/>
    </row>
    <row r="130" spans="1:20" ht="12.75">
      <c r="A130" s="1479" t="s">
        <v>214</v>
      </c>
      <c r="B130" s="1481" t="s">
        <v>331</v>
      </c>
      <c r="C130" s="513" t="s">
        <v>104</v>
      </c>
      <c r="D130" s="514">
        <f t="shared" si="5"/>
        <v>0</v>
      </c>
      <c r="E130" s="461"/>
      <c r="F130" s="516"/>
      <c r="G130" s="517"/>
      <c r="H130" s="13"/>
      <c r="I130" s="13"/>
      <c r="J130" s="518"/>
      <c r="K130" s="515"/>
      <c r="L130" s="516"/>
      <c r="M130" s="517"/>
      <c r="N130" s="275"/>
      <c r="O130" s="519"/>
      <c r="P130" s="517"/>
      <c r="Q130" s="275"/>
      <c r="R130" s="275"/>
      <c r="S130" s="275"/>
      <c r="T130" s="275"/>
    </row>
    <row r="131" spans="1:20" ht="12.75">
      <c r="A131" s="1480"/>
      <c r="B131" s="1482"/>
      <c r="C131" s="513" t="s">
        <v>93</v>
      </c>
      <c r="D131" s="514">
        <f t="shared" si="5"/>
        <v>0</v>
      </c>
      <c r="E131" s="515"/>
      <c r="F131" s="516"/>
      <c r="G131" s="517"/>
      <c r="H131" s="13"/>
      <c r="I131" s="13"/>
      <c r="J131" s="518"/>
      <c r="K131" s="515"/>
      <c r="L131" s="516"/>
      <c r="M131" s="517"/>
      <c r="N131" s="275"/>
      <c r="O131" s="519"/>
      <c r="P131" s="517"/>
      <c r="Q131" s="275"/>
      <c r="R131" s="275"/>
      <c r="S131" s="275"/>
      <c r="T131" s="275"/>
    </row>
    <row r="132" spans="1:20" ht="12.75">
      <c r="A132" s="1479" t="s">
        <v>215</v>
      </c>
      <c r="B132" s="1481" t="s">
        <v>216</v>
      </c>
      <c r="C132" s="513" t="s">
        <v>104</v>
      </c>
      <c r="D132" s="514">
        <f t="shared" si="5"/>
        <v>0</v>
      </c>
      <c r="E132" s="461"/>
      <c r="F132" s="516"/>
      <c r="G132" s="517"/>
      <c r="H132" s="13"/>
      <c r="I132" s="13"/>
      <c r="J132" s="518"/>
      <c r="K132" s="515"/>
      <c r="L132" s="516"/>
      <c r="M132" s="517"/>
      <c r="N132" s="275"/>
      <c r="O132" s="519"/>
      <c r="P132" s="517"/>
      <c r="Q132" s="275"/>
      <c r="R132" s="275"/>
      <c r="S132" s="275"/>
      <c r="T132" s="275"/>
    </row>
    <row r="133" spans="1:20" ht="13.5" thickBot="1">
      <c r="A133" s="1485"/>
      <c r="B133" s="1486"/>
      <c r="C133" s="441" t="s">
        <v>93</v>
      </c>
      <c r="D133" s="442">
        <f t="shared" si="5"/>
        <v>0</v>
      </c>
      <c r="E133" s="443"/>
      <c r="F133" s="520"/>
      <c r="G133" s="521"/>
      <c r="H133" s="522"/>
      <c r="I133" s="522"/>
      <c r="J133" s="523"/>
      <c r="K133" s="443"/>
      <c r="L133" s="520"/>
      <c r="M133" s="521"/>
      <c r="N133" s="258"/>
      <c r="O133" s="448"/>
      <c r="P133" s="521"/>
      <c r="Q133" s="258"/>
      <c r="R133" s="258"/>
      <c r="S133" s="258"/>
      <c r="T133" s="258"/>
    </row>
    <row r="134" spans="1:20" ht="12.75">
      <c r="A134" s="473" t="s">
        <v>126</v>
      </c>
      <c r="B134" s="561" t="s">
        <v>217</v>
      </c>
      <c r="C134" s="524" t="s">
        <v>93</v>
      </c>
      <c r="D134" s="485">
        <f t="shared" si="5"/>
        <v>2209</v>
      </c>
      <c r="E134" s="276"/>
      <c r="F134" s="432"/>
      <c r="G134" s="439"/>
      <c r="H134" s="525">
        <f>I134+J134</f>
        <v>2209</v>
      </c>
      <c r="I134" s="526">
        <v>2209</v>
      </c>
      <c r="J134" s="452"/>
      <c r="K134" s="276"/>
      <c r="L134" s="432"/>
      <c r="M134" s="432"/>
      <c r="N134" s="277"/>
      <c r="O134" s="276"/>
      <c r="P134" s="432"/>
      <c r="Q134" s="276"/>
      <c r="R134" s="277"/>
      <c r="S134" s="276"/>
      <c r="T134" s="277"/>
    </row>
    <row r="135" spans="1:20" ht="13.5" thickBot="1">
      <c r="A135" s="527" t="s">
        <v>218</v>
      </c>
      <c r="B135" s="562" t="s">
        <v>219</v>
      </c>
      <c r="C135" s="528" t="s">
        <v>93</v>
      </c>
      <c r="D135" s="442">
        <f t="shared" si="5"/>
        <v>0</v>
      </c>
      <c r="E135" s="278"/>
      <c r="F135" s="454"/>
      <c r="G135" s="456"/>
      <c r="H135" s="445"/>
      <c r="I135" s="446"/>
      <c r="J135" s="458"/>
      <c r="K135" s="278"/>
      <c r="L135" s="454"/>
      <c r="M135" s="454"/>
      <c r="N135" s="279"/>
      <c r="O135" s="278"/>
      <c r="P135" s="454"/>
      <c r="Q135" s="278"/>
      <c r="R135" s="279"/>
      <c r="S135" s="278"/>
      <c r="T135" s="279"/>
    </row>
    <row r="136" spans="1:20" ht="12.75">
      <c r="A136" s="529" t="s">
        <v>127</v>
      </c>
      <c r="B136" s="563" t="s">
        <v>220</v>
      </c>
      <c r="C136" s="530" t="s">
        <v>104</v>
      </c>
      <c r="D136" s="531">
        <f t="shared" si="5"/>
        <v>5230</v>
      </c>
      <c r="E136" s="280"/>
      <c r="F136" s="280"/>
      <c r="G136" s="280"/>
      <c r="H136" s="532">
        <f>I136+J136</f>
        <v>5230</v>
      </c>
      <c r="I136" s="533">
        <f>I138+I140+I142+I144+I146+I148+I150+I152</f>
        <v>5230</v>
      </c>
      <c r="J136" s="534"/>
      <c r="K136" s="280"/>
      <c r="L136" s="280"/>
      <c r="M136" s="280"/>
      <c r="N136" s="280"/>
      <c r="O136" s="535"/>
      <c r="P136" s="280"/>
      <c r="Q136" s="280"/>
      <c r="R136" s="280"/>
      <c r="S136" s="280"/>
      <c r="T136" s="280"/>
    </row>
    <row r="137" spans="1:20" ht="12.75">
      <c r="A137" s="536"/>
      <c r="B137" s="564" t="s">
        <v>173</v>
      </c>
      <c r="C137" s="537" t="s">
        <v>93</v>
      </c>
      <c r="D137" s="538">
        <f t="shared" si="5"/>
        <v>686.25</v>
      </c>
      <c r="E137" s="539"/>
      <c r="F137" s="539"/>
      <c r="G137" s="281"/>
      <c r="H137" s="540">
        <f aca="true" t="shared" si="6" ref="H137:H151">I137+J137</f>
        <v>686.25</v>
      </c>
      <c r="I137" s="541">
        <f>I139+I141+I143+I145+I147+I149+I151+I153</f>
        <v>686.25</v>
      </c>
      <c r="J137" s="542"/>
      <c r="K137" s="539"/>
      <c r="L137" s="539"/>
      <c r="M137" s="281"/>
      <c r="N137" s="281"/>
      <c r="O137" s="543"/>
      <c r="P137" s="281"/>
      <c r="Q137" s="281"/>
      <c r="R137" s="281"/>
      <c r="S137" s="281"/>
      <c r="T137" s="281"/>
    </row>
    <row r="138" spans="1:20" ht="12.75">
      <c r="A138" s="1479" t="s">
        <v>174</v>
      </c>
      <c r="B138" s="1481" t="s">
        <v>221</v>
      </c>
      <c r="C138" s="513" t="s">
        <v>104</v>
      </c>
      <c r="D138" s="514">
        <f t="shared" si="5"/>
        <v>50</v>
      </c>
      <c r="E138" s="461"/>
      <c r="F138" s="517"/>
      <c r="G138" s="275"/>
      <c r="H138" s="544">
        <f t="shared" si="6"/>
        <v>50</v>
      </c>
      <c r="I138" s="544">
        <v>50</v>
      </c>
      <c r="J138" s="477"/>
      <c r="K138" s="461"/>
      <c r="L138" s="517"/>
      <c r="M138" s="275"/>
      <c r="N138" s="275"/>
      <c r="O138" s="519"/>
      <c r="P138" s="275"/>
      <c r="Q138" s="275"/>
      <c r="R138" s="275"/>
      <c r="S138" s="275"/>
      <c r="T138" s="275"/>
    </row>
    <row r="139" spans="1:20" ht="12.75">
      <c r="A139" s="1480"/>
      <c r="B139" s="1482"/>
      <c r="C139" s="513" t="s">
        <v>93</v>
      </c>
      <c r="D139" s="545">
        <f t="shared" si="5"/>
        <v>22.5</v>
      </c>
      <c r="E139" s="515"/>
      <c r="F139" s="517"/>
      <c r="G139" s="275"/>
      <c r="H139" s="546">
        <f t="shared" si="6"/>
        <v>22.5</v>
      </c>
      <c r="I139" s="546">
        <v>22.5</v>
      </c>
      <c r="J139" s="518"/>
      <c r="K139" s="515"/>
      <c r="L139" s="517"/>
      <c r="M139" s="275"/>
      <c r="N139" s="275"/>
      <c r="O139" s="519"/>
      <c r="P139" s="275"/>
      <c r="Q139" s="275"/>
      <c r="R139" s="275"/>
      <c r="S139" s="275"/>
      <c r="T139" s="275"/>
    </row>
    <row r="140" spans="1:20" ht="12.75">
      <c r="A140" s="1479" t="s">
        <v>177</v>
      </c>
      <c r="B140" s="1481" t="s">
        <v>222</v>
      </c>
      <c r="C140" s="513" t="s">
        <v>104</v>
      </c>
      <c r="D140" s="514">
        <f t="shared" si="5"/>
        <v>0</v>
      </c>
      <c r="E140" s="461"/>
      <c r="F140" s="517"/>
      <c r="G140" s="275"/>
      <c r="H140" s="547"/>
      <c r="I140" s="547"/>
      <c r="J140" s="518"/>
      <c r="K140" s="461"/>
      <c r="L140" s="517"/>
      <c r="M140" s="275"/>
      <c r="N140" s="275"/>
      <c r="O140" s="519"/>
      <c r="P140" s="275"/>
      <c r="Q140" s="275"/>
      <c r="R140" s="275"/>
      <c r="S140" s="275"/>
      <c r="T140" s="275"/>
    </row>
    <row r="141" spans="1:20" ht="12.75">
      <c r="A141" s="1480"/>
      <c r="B141" s="1482"/>
      <c r="C141" s="513" t="s">
        <v>93</v>
      </c>
      <c r="D141" s="514">
        <f t="shared" si="5"/>
        <v>0</v>
      </c>
      <c r="E141" s="443"/>
      <c r="F141" s="517"/>
      <c r="G141" s="275"/>
      <c r="H141" s="547"/>
      <c r="I141" s="547"/>
      <c r="J141" s="518"/>
      <c r="K141" s="443"/>
      <c r="L141" s="517"/>
      <c r="M141" s="275"/>
      <c r="N141" s="275"/>
      <c r="O141" s="519"/>
      <c r="P141" s="275"/>
      <c r="Q141" s="275"/>
      <c r="R141" s="275"/>
      <c r="S141" s="275"/>
      <c r="T141" s="275"/>
    </row>
    <row r="142" spans="1:20" ht="12.75">
      <c r="A142" s="1479" t="s">
        <v>179</v>
      </c>
      <c r="B142" s="1481" t="s">
        <v>223</v>
      </c>
      <c r="C142" s="513" t="s">
        <v>104</v>
      </c>
      <c r="D142" s="514">
        <f t="shared" si="5"/>
        <v>0</v>
      </c>
      <c r="E142" s="515"/>
      <c r="F142" s="517"/>
      <c r="G142" s="275"/>
      <c r="H142" s="547"/>
      <c r="I142" s="547"/>
      <c r="J142" s="518"/>
      <c r="K142" s="515"/>
      <c r="L142" s="517"/>
      <c r="M142" s="275"/>
      <c r="N142" s="275"/>
      <c r="O142" s="519"/>
      <c r="P142" s="275"/>
      <c r="Q142" s="275"/>
      <c r="R142" s="275"/>
      <c r="S142" s="275"/>
      <c r="T142" s="275"/>
    </row>
    <row r="143" spans="1:20" ht="12.75">
      <c r="A143" s="1480"/>
      <c r="B143" s="1482"/>
      <c r="C143" s="513" t="s">
        <v>93</v>
      </c>
      <c r="D143" s="514">
        <f t="shared" si="5"/>
        <v>0</v>
      </c>
      <c r="E143" s="515"/>
      <c r="F143" s="517"/>
      <c r="G143" s="275"/>
      <c r="H143" s="547"/>
      <c r="I143" s="547"/>
      <c r="J143" s="518"/>
      <c r="K143" s="515"/>
      <c r="L143" s="517"/>
      <c r="M143" s="275"/>
      <c r="N143" s="275"/>
      <c r="O143" s="519"/>
      <c r="P143" s="275"/>
      <c r="Q143" s="275"/>
      <c r="R143" s="275"/>
      <c r="S143" s="275"/>
      <c r="T143" s="275"/>
    </row>
    <row r="144" spans="1:20" ht="12.75">
      <c r="A144" s="1479" t="s">
        <v>181</v>
      </c>
      <c r="B144" s="1481" t="s">
        <v>224</v>
      </c>
      <c r="C144" s="513" t="s">
        <v>104</v>
      </c>
      <c r="D144" s="514">
        <f t="shared" si="5"/>
        <v>50</v>
      </c>
      <c r="E144" s="461"/>
      <c r="F144" s="517"/>
      <c r="G144" s="275"/>
      <c r="H144" s="547">
        <f t="shared" si="6"/>
        <v>50</v>
      </c>
      <c r="I144" s="547">
        <v>50</v>
      </c>
      <c r="J144" s="518"/>
      <c r="K144" s="461"/>
      <c r="L144" s="517"/>
      <c r="M144" s="275"/>
      <c r="N144" s="275"/>
      <c r="O144" s="519"/>
      <c r="P144" s="275"/>
      <c r="Q144" s="275"/>
      <c r="R144" s="275"/>
      <c r="S144" s="275"/>
      <c r="T144" s="275"/>
    </row>
    <row r="145" spans="1:20" ht="12.75">
      <c r="A145" s="1480"/>
      <c r="B145" s="1482"/>
      <c r="C145" s="513" t="s">
        <v>93</v>
      </c>
      <c r="D145" s="514">
        <f t="shared" si="5"/>
        <v>22.5</v>
      </c>
      <c r="E145" s="443"/>
      <c r="F145" s="517"/>
      <c r="G145" s="258"/>
      <c r="H145" s="547">
        <f t="shared" si="6"/>
        <v>22.5</v>
      </c>
      <c r="I145" s="546">
        <f>I144*0.45</f>
        <v>22.5</v>
      </c>
      <c r="J145" s="518"/>
      <c r="K145" s="443"/>
      <c r="L145" s="517"/>
      <c r="M145" s="258"/>
      <c r="N145" s="258"/>
      <c r="O145" s="448"/>
      <c r="P145" s="258"/>
      <c r="Q145" s="258"/>
      <c r="R145" s="258"/>
      <c r="S145" s="258"/>
      <c r="T145" s="258"/>
    </row>
    <row r="146" spans="1:20" ht="12.75">
      <c r="A146" s="1479" t="s">
        <v>225</v>
      </c>
      <c r="B146" s="1481" t="s">
        <v>226</v>
      </c>
      <c r="C146" s="513" t="s">
        <v>104</v>
      </c>
      <c r="D146" s="514">
        <f t="shared" si="5"/>
        <v>4650</v>
      </c>
      <c r="E146" s="515"/>
      <c r="F146" s="517"/>
      <c r="G146" s="275"/>
      <c r="H146" s="547">
        <f t="shared" si="6"/>
        <v>4650</v>
      </c>
      <c r="I146" s="547">
        <v>4650</v>
      </c>
      <c r="J146" s="518"/>
      <c r="K146" s="515"/>
      <c r="L146" s="517"/>
      <c r="M146" s="275"/>
      <c r="N146" s="275"/>
      <c r="O146" s="519"/>
      <c r="P146" s="275"/>
      <c r="Q146" s="275"/>
      <c r="R146" s="275"/>
      <c r="S146" s="275"/>
      <c r="T146" s="275"/>
    </row>
    <row r="147" spans="1:20" ht="12.75">
      <c r="A147" s="1480"/>
      <c r="B147" s="1482"/>
      <c r="C147" s="513" t="s">
        <v>93</v>
      </c>
      <c r="D147" s="514">
        <f t="shared" si="5"/>
        <v>581.25</v>
      </c>
      <c r="E147" s="515"/>
      <c r="F147" s="548"/>
      <c r="G147" s="275"/>
      <c r="H147" s="547">
        <f t="shared" si="6"/>
        <v>581.25</v>
      </c>
      <c r="I147" s="547">
        <f>I146*0.125</f>
        <v>581.25</v>
      </c>
      <c r="J147" s="518"/>
      <c r="K147" s="515"/>
      <c r="L147" s="548"/>
      <c r="M147" s="275"/>
      <c r="N147" s="275"/>
      <c r="O147" s="519"/>
      <c r="P147" s="275"/>
      <c r="Q147" s="275"/>
      <c r="R147" s="275"/>
      <c r="S147" s="275"/>
      <c r="T147" s="275"/>
    </row>
    <row r="148" spans="1:20" ht="12.75">
      <c r="A148" s="1479" t="s">
        <v>227</v>
      </c>
      <c r="B148" s="1481" t="s">
        <v>228</v>
      </c>
      <c r="C148" s="513" t="s">
        <v>104</v>
      </c>
      <c r="D148" s="514">
        <f t="shared" si="5"/>
        <v>240</v>
      </c>
      <c r="E148" s="461"/>
      <c r="F148" s="517"/>
      <c r="G148" s="275"/>
      <c r="H148" s="547">
        <f t="shared" si="6"/>
        <v>240</v>
      </c>
      <c r="I148" s="547">
        <v>240</v>
      </c>
      <c r="J148" s="518"/>
      <c r="K148" s="461"/>
      <c r="L148" s="517"/>
      <c r="M148" s="275"/>
      <c r="N148" s="275"/>
      <c r="O148" s="519"/>
      <c r="P148" s="275"/>
      <c r="Q148" s="275"/>
      <c r="R148" s="275"/>
      <c r="S148" s="275"/>
      <c r="T148" s="275"/>
    </row>
    <row r="149" spans="1:20" ht="12.75">
      <c r="A149" s="1480"/>
      <c r="B149" s="1482"/>
      <c r="C149" s="513" t="s">
        <v>93</v>
      </c>
      <c r="D149" s="545">
        <f t="shared" si="5"/>
        <v>30</v>
      </c>
      <c r="E149" s="443"/>
      <c r="F149" s="517"/>
      <c r="G149" s="275"/>
      <c r="H149" s="546">
        <f t="shared" si="6"/>
        <v>30</v>
      </c>
      <c r="I149" s="546">
        <f>I148*0.125</f>
        <v>30</v>
      </c>
      <c r="J149" s="518"/>
      <c r="K149" s="443"/>
      <c r="L149" s="517"/>
      <c r="M149" s="275"/>
      <c r="N149" s="275"/>
      <c r="O149" s="519"/>
      <c r="P149" s="275"/>
      <c r="Q149" s="275"/>
      <c r="R149" s="275"/>
      <c r="S149" s="275"/>
      <c r="T149" s="275"/>
    </row>
    <row r="150" spans="1:20" ht="12.75">
      <c r="A150" s="1479" t="s">
        <v>229</v>
      </c>
      <c r="B150" s="1481" t="s">
        <v>230</v>
      </c>
      <c r="C150" s="513" t="s">
        <v>104</v>
      </c>
      <c r="D150" s="514">
        <f t="shared" si="5"/>
        <v>240</v>
      </c>
      <c r="E150" s="515"/>
      <c r="F150" s="517"/>
      <c r="G150" s="275"/>
      <c r="H150" s="547">
        <f t="shared" si="6"/>
        <v>240</v>
      </c>
      <c r="I150" s="547">
        <v>240</v>
      </c>
      <c r="J150" s="518"/>
      <c r="K150" s="515"/>
      <c r="L150" s="517"/>
      <c r="M150" s="275"/>
      <c r="N150" s="275"/>
      <c r="O150" s="519"/>
      <c r="P150" s="275"/>
      <c r="Q150" s="275"/>
      <c r="R150" s="275"/>
      <c r="S150" s="275"/>
      <c r="T150" s="275"/>
    </row>
    <row r="151" spans="1:20" ht="12.75">
      <c r="A151" s="1480"/>
      <c r="B151" s="1482"/>
      <c r="C151" s="513" t="s">
        <v>93</v>
      </c>
      <c r="D151" s="514">
        <f t="shared" si="5"/>
        <v>30</v>
      </c>
      <c r="E151" s="515"/>
      <c r="F151" s="517"/>
      <c r="G151" s="275"/>
      <c r="H151" s="547">
        <f t="shared" si="6"/>
        <v>30</v>
      </c>
      <c r="I151" s="546">
        <f>I150*0.125</f>
        <v>30</v>
      </c>
      <c r="J151" s="518"/>
      <c r="K151" s="515"/>
      <c r="L151" s="517"/>
      <c r="M151" s="275"/>
      <c r="N151" s="275"/>
      <c r="O151" s="519"/>
      <c r="P151" s="275"/>
      <c r="Q151" s="275"/>
      <c r="R151" s="275"/>
      <c r="S151" s="275"/>
      <c r="T151" s="275"/>
    </row>
    <row r="152" spans="1:20" ht="12.75">
      <c r="A152" s="1479" t="s">
        <v>231</v>
      </c>
      <c r="B152" s="1481" t="s">
        <v>232</v>
      </c>
      <c r="C152" s="513" t="s">
        <v>104</v>
      </c>
      <c r="D152" s="514">
        <f t="shared" si="5"/>
        <v>0</v>
      </c>
      <c r="E152" s="461"/>
      <c r="F152" s="517"/>
      <c r="G152" s="275"/>
      <c r="H152" s="13"/>
      <c r="I152" s="13"/>
      <c r="J152" s="518"/>
      <c r="K152" s="461"/>
      <c r="L152" s="517"/>
      <c r="M152" s="275"/>
      <c r="N152" s="275"/>
      <c r="O152" s="519"/>
      <c r="P152" s="275"/>
      <c r="Q152" s="275"/>
      <c r="R152" s="275"/>
      <c r="S152" s="275"/>
      <c r="T152" s="275"/>
    </row>
    <row r="153" spans="1:20" ht="13.5" thickBot="1">
      <c r="A153" s="1485"/>
      <c r="B153" s="1486"/>
      <c r="C153" s="454" t="s">
        <v>93</v>
      </c>
      <c r="D153" s="512">
        <f t="shared" si="5"/>
        <v>0</v>
      </c>
      <c r="E153" s="455"/>
      <c r="F153" s="549"/>
      <c r="G153" s="262"/>
      <c r="H153" s="104"/>
      <c r="I153" s="104"/>
      <c r="J153" s="458"/>
      <c r="K153" s="455"/>
      <c r="L153" s="549"/>
      <c r="M153" s="262"/>
      <c r="N153" s="262"/>
      <c r="O153" s="266"/>
      <c r="P153" s="262"/>
      <c r="Q153" s="262"/>
      <c r="R153" s="262"/>
      <c r="S153" s="262"/>
      <c r="T153" s="262"/>
    </row>
    <row r="154" spans="1:20" ht="12.75">
      <c r="A154" s="42"/>
      <c r="B154" s="42"/>
      <c r="C154" s="42"/>
      <c r="D154" s="151"/>
      <c r="E154" s="151"/>
      <c r="F154" s="42"/>
      <c r="G154" s="42"/>
      <c r="H154" s="42"/>
      <c r="I154" s="42"/>
      <c r="J154" s="42"/>
      <c r="K154" s="151"/>
      <c r="L154" s="42"/>
      <c r="M154" s="42"/>
      <c r="N154" s="151"/>
      <c r="O154" s="151"/>
      <c r="P154" s="42"/>
      <c r="Q154" s="151"/>
      <c r="R154" s="151"/>
      <c r="S154" s="151"/>
      <c r="T154" s="151"/>
    </row>
    <row r="155" spans="1:20" ht="12.75">
      <c r="A155" s="42"/>
      <c r="B155" s="42"/>
      <c r="C155" s="42"/>
      <c r="D155" s="151"/>
      <c r="E155" s="151"/>
      <c r="F155" s="42"/>
      <c r="G155" s="42"/>
      <c r="H155" s="42"/>
      <c r="I155" s="42"/>
      <c r="J155" s="42"/>
      <c r="K155" s="151"/>
      <c r="L155" s="42"/>
      <c r="M155" s="42"/>
      <c r="N155" s="151"/>
      <c r="O155" s="151"/>
      <c r="P155" s="42"/>
      <c r="Q155" s="151"/>
      <c r="R155" s="151"/>
      <c r="S155" s="151"/>
      <c r="T155" s="151"/>
    </row>
    <row r="156" spans="1:20" ht="15.75">
      <c r="A156" s="42"/>
      <c r="B156" s="1483" t="s">
        <v>233</v>
      </c>
      <c r="C156" s="1483"/>
      <c r="D156" s="46"/>
      <c r="E156" s="46"/>
      <c r="F156" s="46"/>
      <c r="G156" s="46"/>
      <c r="H156" s="46"/>
      <c r="I156" s="46" t="s">
        <v>876</v>
      </c>
      <c r="J156" s="46"/>
      <c r="K156" s="46"/>
      <c r="L156" s="42"/>
      <c r="M156" s="42"/>
      <c r="N156" s="151"/>
      <c r="O156" s="151"/>
      <c r="P156" s="42"/>
      <c r="Q156" s="151"/>
      <c r="R156" s="151"/>
      <c r="S156" s="151"/>
      <c r="T156" s="151"/>
    </row>
    <row r="157" spans="1:20" ht="15.75">
      <c r="A157" s="42"/>
      <c r="B157" s="111"/>
      <c r="C157" s="43"/>
      <c r="D157" s="46"/>
      <c r="E157" s="46"/>
      <c r="F157" s="46"/>
      <c r="G157" s="46"/>
      <c r="H157" s="46"/>
      <c r="I157" s="46"/>
      <c r="J157" s="46"/>
      <c r="K157" s="46"/>
      <c r="L157" s="42"/>
      <c r="M157" s="42"/>
      <c r="N157" s="151"/>
      <c r="O157" s="151"/>
      <c r="P157" s="42"/>
      <c r="Q157" s="151"/>
      <c r="R157" s="151"/>
      <c r="S157" s="151"/>
      <c r="T157" s="151"/>
    </row>
    <row r="158" spans="1:20" ht="15.75">
      <c r="A158" s="42"/>
      <c r="B158" s="1483" t="s">
        <v>234</v>
      </c>
      <c r="C158" s="1483"/>
      <c r="D158" s="47"/>
      <c r="E158" s="47"/>
      <c r="F158" s="47"/>
      <c r="G158" s="47"/>
      <c r="H158" s="47"/>
      <c r="I158" s="46" t="s">
        <v>235</v>
      </c>
      <c r="J158" s="46"/>
      <c r="K158" s="47"/>
      <c r="L158" s="42"/>
      <c r="M158" s="42"/>
      <c r="N158" s="151"/>
      <c r="O158" s="151"/>
      <c r="P158" s="42"/>
      <c r="Q158" s="151"/>
      <c r="R158" s="151"/>
      <c r="S158" s="151"/>
      <c r="T158" s="151"/>
    </row>
    <row r="159" spans="1:20" ht="15.75">
      <c r="A159" s="42"/>
      <c r="B159" s="282"/>
      <c r="C159" s="47"/>
      <c r="D159" s="48"/>
      <c r="E159" s="48"/>
      <c r="F159" s="48"/>
      <c r="G159" s="48"/>
      <c r="H159" s="48"/>
      <c r="I159" s="48"/>
      <c r="J159" s="48"/>
      <c r="K159" s="48"/>
      <c r="L159" s="42"/>
      <c r="M159" s="42"/>
      <c r="N159" s="151"/>
      <c r="O159" s="151"/>
      <c r="P159" s="42"/>
      <c r="Q159" s="151"/>
      <c r="R159" s="151"/>
      <c r="S159" s="151"/>
      <c r="T159" s="151"/>
    </row>
    <row r="160" spans="1:20" ht="15.75">
      <c r="A160" s="42"/>
      <c r="B160" s="1484" t="s">
        <v>236</v>
      </c>
      <c r="C160" s="1484"/>
      <c r="D160" s="49"/>
      <c r="E160" s="49"/>
      <c r="F160" s="49"/>
      <c r="G160" s="49"/>
      <c r="H160" s="49"/>
      <c r="I160" s="44" t="s">
        <v>237</v>
      </c>
      <c r="J160" s="49"/>
      <c r="K160" s="49"/>
      <c r="L160" s="42"/>
      <c r="M160" s="42"/>
      <c r="N160" s="151"/>
      <c r="O160" s="151"/>
      <c r="P160" s="42"/>
      <c r="Q160" s="151"/>
      <c r="R160" s="151"/>
      <c r="S160" s="151"/>
      <c r="T160" s="151"/>
    </row>
    <row r="161" spans="1:20" ht="15.75">
      <c r="A161" s="42"/>
      <c r="B161" s="282"/>
      <c r="C161" s="43"/>
      <c r="D161" s="43"/>
      <c r="E161" s="43"/>
      <c r="F161" s="43"/>
      <c r="G161" s="43"/>
      <c r="H161" s="43"/>
      <c r="I161" s="43"/>
      <c r="J161" s="43"/>
      <c r="K161" s="43"/>
      <c r="L161" s="42"/>
      <c r="M161" s="42"/>
      <c r="N161" s="151"/>
      <c r="O161" s="151"/>
      <c r="P161" s="42"/>
      <c r="Q161" s="151"/>
      <c r="R161" s="151"/>
      <c r="S161" s="151"/>
      <c r="T161" s="151"/>
    </row>
    <row r="162" spans="1:20" ht="12.75">
      <c r="A162" s="42"/>
      <c r="B162" s="42"/>
      <c r="C162" s="42"/>
      <c r="D162" s="151"/>
      <c r="E162" s="151"/>
      <c r="F162" s="42"/>
      <c r="G162" s="42"/>
      <c r="H162" s="42"/>
      <c r="I162" s="42"/>
      <c r="J162" s="42"/>
      <c r="K162" s="151"/>
      <c r="L162" s="42"/>
      <c r="M162" s="42"/>
      <c r="N162" s="151"/>
      <c r="O162" s="151"/>
      <c r="P162" s="42"/>
      <c r="Q162" s="151"/>
      <c r="R162" s="151"/>
      <c r="S162" s="151"/>
      <c r="T162" s="151"/>
    </row>
  </sheetData>
  <sheetProtection/>
  <mergeCells count="130">
    <mergeCell ref="Q9:R10"/>
    <mergeCell ref="S9:T10"/>
    <mergeCell ref="B18:B19"/>
    <mergeCell ref="A9:A11"/>
    <mergeCell ref="B9:B11"/>
    <mergeCell ref="E9:M9"/>
    <mergeCell ref="N9:P10"/>
    <mergeCell ref="E10:G10"/>
    <mergeCell ref="H10:J10"/>
    <mergeCell ref="K10:M10"/>
    <mergeCell ref="C9:C11"/>
    <mergeCell ref="D9:D11"/>
    <mergeCell ref="A21:A22"/>
    <mergeCell ref="B21:B22"/>
    <mergeCell ref="A23:A24"/>
    <mergeCell ref="B23:B24"/>
    <mergeCell ref="A13:A15"/>
    <mergeCell ref="A16:A17"/>
    <mergeCell ref="B16:B17"/>
    <mergeCell ref="A18:A19"/>
    <mergeCell ref="A25:A26"/>
    <mergeCell ref="B25:B26"/>
    <mergeCell ref="A27:A28"/>
    <mergeCell ref="B27:B28"/>
    <mergeCell ref="A29:A30"/>
    <mergeCell ref="B29:B30"/>
    <mergeCell ref="A32:A33"/>
    <mergeCell ref="B32:B33"/>
    <mergeCell ref="A34:A35"/>
    <mergeCell ref="B34:B35"/>
    <mergeCell ref="A36:A38"/>
    <mergeCell ref="B36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7:A88"/>
    <mergeCell ref="B87:B88"/>
    <mergeCell ref="A89:A90"/>
    <mergeCell ref="B89:B90"/>
    <mergeCell ref="A91:A92"/>
    <mergeCell ref="B91:B92"/>
    <mergeCell ref="A98:P98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26:A127"/>
    <mergeCell ref="B126:B127"/>
    <mergeCell ref="A128:A129"/>
    <mergeCell ref="B128:B129"/>
    <mergeCell ref="A130:A131"/>
    <mergeCell ref="B130:B131"/>
    <mergeCell ref="A132:A133"/>
    <mergeCell ref="B132:B133"/>
    <mergeCell ref="A138:A139"/>
    <mergeCell ref="B138:B139"/>
    <mergeCell ref="A152:A153"/>
    <mergeCell ref="A140:A141"/>
    <mergeCell ref="B140:B141"/>
    <mergeCell ref="A142:A143"/>
    <mergeCell ref="B142:B143"/>
    <mergeCell ref="A144:A145"/>
    <mergeCell ref="B144:B145"/>
    <mergeCell ref="B152:B153"/>
    <mergeCell ref="A146:A147"/>
    <mergeCell ref="B146:B147"/>
    <mergeCell ref="B156:C156"/>
    <mergeCell ref="B158:C158"/>
    <mergeCell ref="B160:C160"/>
    <mergeCell ref="A148:A149"/>
    <mergeCell ref="B148:B149"/>
    <mergeCell ref="A150:A151"/>
    <mergeCell ref="B150:B151"/>
  </mergeCells>
  <printOptions/>
  <pageMargins left="0.2362204724409449" right="0.2362204724409449" top="0.2362204724409449" bottom="0.2362204724409449" header="0.31496062992125984" footer="0"/>
  <pageSetup fitToHeight="0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15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5.00390625" style="0" customWidth="1"/>
    <col min="2" max="2" width="27.125" style="0" customWidth="1"/>
    <col min="5" max="5" width="31.375" style="8" customWidth="1"/>
  </cols>
  <sheetData>
    <row r="1" ht="12.75">
      <c r="E1" s="8" t="s">
        <v>832</v>
      </c>
    </row>
    <row r="2" ht="12.75">
      <c r="E2" s="8" t="s">
        <v>53</v>
      </c>
    </row>
    <row r="3" ht="12.75">
      <c r="E3" s="8" t="s">
        <v>35</v>
      </c>
    </row>
    <row r="4" ht="12.75">
      <c r="E4" s="8" t="s">
        <v>758</v>
      </c>
    </row>
    <row r="7" spans="1:5" ht="25.5" customHeight="1" thickBot="1">
      <c r="A7" s="1668" t="s">
        <v>298</v>
      </c>
      <c r="B7" s="1668"/>
      <c r="C7" s="1668"/>
      <c r="D7" s="1668"/>
      <c r="E7" s="1668"/>
    </row>
    <row r="8" spans="1:5" ht="18" customHeight="1" thickBot="1">
      <c r="A8" s="1662" t="s">
        <v>76</v>
      </c>
      <c r="B8" s="1572" t="s">
        <v>3</v>
      </c>
      <c r="C8" s="1662" t="s">
        <v>91</v>
      </c>
      <c r="D8" s="99" t="s">
        <v>83</v>
      </c>
      <c r="E8" s="1662" t="s">
        <v>38</v>
      </c>
    </row>
    <row r="9" spans="1:5" ht="12.75">
      <c r="A9" s="1663"/>
      <c r="B9" s="1659"/>
      <c r="C9" s="1663"/>
      <c r="D9" s="668" t="s">
        <v>6</v>
      </c>
      <c r="E9" s="1663"/>
    </row>
    <row r="10" spans="1:5" ht="13.5" thickBot="1">
      <c r="A10" s="1664"/>
      <c r="B10" s="1573"/>
      <c r="C10" s="1664"/>
      <c r="D10" s="667" t="s">
        <v>92</v>
      </c>
      <c r="E10" s="1664"/>
    </row>
    <row r="11" spans="1:5" ht="18" customHeight="1">
      <c r="A11" s="581">
        <v>1</v>
      </c>
      <c r="B11" s="872" t="s">
        <v>613</v>
      </c>
      <c r="C11" s="621">
        <v>5</v>
      </c>
      <c r="D11" s="588">
        <f>C11*0.7648966</f>
        <v>3.8244830000000003</v>
      </c>
      <c r="E11" s="671" t="s">
        <v>614</v>
      </c>
    </row>
    <row r="12" spans="1:5" ht="15" customHeight="1" thickBot="1">
      <c r="A12" s="573">
        <f>A11+1</f>
        <v>2</v>
      </c>
      <c r="B12" s="584"/>
      <c r="C12" s="620"/>
      <c r="D12" s="588"/>
      <c r="E12" s="672"/>
    </row>
    <row r="13" spans="1:5" ht="13.5" thickBot="1">
      <c r="A13" s="106"/>
      <c r="B13" s="107" t="s">
        <v>6</v>
      </c>
      <c r="C13" s="580">
        <f>SUM(C11:C12)</f>
        <v>5</v>
      </c>
      <c r="D13" s="101">
        <f>SUM(D11:D12)</f>
        <v>3.8244830000000003</v>
      </c>
      <c r="E13" s="673"/>
    </row>
    <row r="15" spans="2:5" ht="12.75">
      <c r="B15" t="s">
        <v>73</v>
      </c>
      <c r="E15" s="8" t="s">
        <v>356</v>
      </c>
    </row>
  </sheetData>
  <sheetProtection/>
  <mergeCells count="5">
    <mergeCell ref="C8:C10"/>
    <mergeCell ref="A7:E7"/>
    <mergeCell ref="A8:A10"/>
    <mergeCell ref="B8:B10"/>
    <mergeCell ref="E8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57"/>
  <sheetViews>
    <sheetView zoomScalePageLayoutView="0" workbookViewId="0" topLeftCell="A1">
      <pane xSplit="2" ySplit="10" topLeftCell="C2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M10" sqref="M10"/>
    </sheetView>
  </sheetViews>
  <sheetFormatPr defaultColWidth="9.00390625" defaultRowHeight="12.75"/>
  <cols>
    <col min="1" max="1" width="4.25390625" style="0" customWidth="1"/>
    <col min="2" max="2" width="24.375" style="0" customWidth="1"/>
    <col min="3" max="3" width="5.875" style="0" customWidth="1"/>
    <col min="4" max="4" width="9.125" style="0" hidden="1" customWidth="1"/>
    <col min="5" max="5" width="9.00390625" style="0" customWidth="1"/>
    <col min="6" max="7" width="8.25390625" style="8" customWidth="1"/>
    <col min="8" max="8" width="8.125" style="8" customWidth="1"/>
    <col min="9" max="9" width="17.875" style="0" customWidth="1"/>
  </cols>
  <sheetData>
    <row r="1" spans="1:9" ht="15.75" customHeight="1">
      <c r="A1" s="2"/>
      <c r="B1" s="7"/>
      <c r="C1" s="1669" t="s">
        <v>772</v>
      </c>
      <c r="D1" s="1670"/>
      <c r="E1" s="1670"/>
      <c r="F1" s="1670"/>
      <c r="G1" s="1670"/>
      <c r="H1" s="1670"/>
      <c r="I1" s="1670"/>
    </row>
    <row r="2" spans="1:9" ht="15.75">
      <c r="A2" s="7"/>
      <c r="B2" s="7"/>
      <c r="C2" s="1670"/>
      <c r="D2" s="1670"/>
      <c r="E2" s="1670"/>
      <c r="F2" s="1670"/>
      <c r="G2" s="1670"/>
      <c r="H2" s="1670"/>
      <c r="I2" s="1670"/>
    </row>
    <row r="3" spans="1:9" ht="15.75">
      <c r="A3" s="7"/>
      <c r="B3" s="7"/>
      <c r="C3" s="1670"/>
      <c r="D3" s="1670"/>
      <c r="E3" s="1670"/>
      <c r="F3" s="1670"/>
      <c r="G3" s="1670"/>
      <c r="H3" s="1670"/>
      <c r="I3" s="1670"/>
    </row>
    <row r="4" spans="1:9" ht="15.75" customHeight="1">
      <c r="A4" s="7"/>
      <c r="B4" s="7"/>
      <c r="C4" s="1670"/>
      <c r="D4" s="1670"/>
      <c r="E4" s="1670"/>
      <c r="F4" s="1670"/>
      <c r="G4" s="1670"/>
      <c r="H4" s="1670"/>
      <c r="I4" s="1670"/>
    </row>
    <row r="5" spans="1:9" ht="15.75">
      <c r="A5" s="7"/>
      <c r="B5" s="7"/>
      <c r="C5" s="7"/>
      <c r="D5" s="7"/>
      <c r="E5" s="7"/>
      <c r="F5" s="2"/>
      <c r="G5" s="2"/>
      <c r="H5" s="2"/>
      <c r="I5" s="7"/>
    </row>
    <row r="6" spans="1:9" ht="15.75">
      <c r="A6" s="1671" t="s">
        <v>771</v>
      </c>
      <c r="B6" s="1671"/>
      <c r="C6" s="1671"/>
      <c r="D6" s="1671"/>
      <c r="E6" s="1671"/>
      <c r="F6" s="1671"/>
      <c r="G6" s="1671"/>
      <c r="H6" s="1671"/>
      <c r="I6" s="1671"/>
    </row>
    <row r="7" spans="1:9" ht="15.75">
      <c r="A7" s="1671" t="s">
        <v>35</v>
      </c>
      <c r="B7" s="1671"/>
      <c r="C7" s="1671"/>
      <c r="D7" s="1671"/>
      <c r="E7" s="1671"/>
      <c r="F7" s="1671"/>
      <c r="G7" s="1671"/>
      <c r="H7" s="1671"/>
      <c r="I7" s="1671"/>
    </row>
    <row r="8" spans="1:9" ht="16.5" thickBot="1">
      <c r="A8" s="990"/>
      <c r="B8" s="990"/>
      <c r="C8" s="990"/>
      <c r="D8" s="990"/>
      <c r="E8" s="990"/>
      <c r="F8" s="1262"/>
      <c r="G8" s="1262"/>
      <c r="H8" s="1262"/>
      <c r="I8" s="990"/>
    </row>
    <row r="9" spans="1:9" ht="13.5" thickBot="1">
      <c r="A9" s="991" t="s">
        <v>36</v>
      </c>
      <c r="B9" s="1672" t="s">
        <v>3</v>
      </c>
      <c r="C9" s="1674" t="s">
        <v>257</v>
      </c>
      <c r="D9" s="992" t="s">
        <v>6</v>
      </c>
      <c r="E9" s="1300" t="s">
        <v>6</v>
      </c>
      <c r="F9" s="1672" t="s">
        <v>42</v>
      </c>
      <c r="G9" s="1300" t="s">
        <v>88</v>
      </c>
      <c r="H9" s="1300" t="s">
        <v>89</v>
      </c>
      <c r="I9" s="1672" t="s">
        <v>107</v>
      </c>
    </row>
    <row r="10" spans="1:9" ht="13.5" thickBot="1">
      <c r="A10" s="993" t="s">
        <v>258</v>
      </c>
      <c r="B10" s="1673"/>
      <c r="C10" s="1675"/>
      <c r="D10" s="994" t="s">
        <v>108</v>
      </c>
      <c r="E10" s="1301" t="s">
        <v>63</v>
      </c>
      <c r="F10" s="1673"/>
      <c r="G10" s="1301" t="s">
        <v>883</v>
      </c>
      <c r="H10" s="1301" t="s">
        <v>883</v>
      </c>
      <c r="I10" s="1673"/>
    </row>
    <row r="11" spans="1:9" ht="12.75">
      <c r="A11" s="30">
        <v>1</v>
      </c>
      <c r="B11" s="995" t="s">
        <v>25</v>
      </c>
      <c r="C11" s="996"/>
      <c r="D11" s="1145">
        <v>5</v>
      </c>
      <c r="E11" s="1325">
        <f aca="true" t="shared" si="0" ref="E11:E46">D11/1000</f>
        <v>0.005</v>
      </c>
      <c r="F11" s="1263">
        <f aca="true" t="shared" si="1" ref="F11:F26">E11*901.343</f>
        <v>4.506715</v>
      </c>
      <c r="G11" s="1321">
        <v>0.005</v>
      </c>
      <c r="H11" s="1321"/>
      <c r="I11" s="998"/>
    </row>
    <row r="12" spans="1:9" ht="12.75">
      <c r="A12" s="30">
        <f>A11+1</f>
        <v>2</v>
      </c>
      <c r="B12" s="995" t="s">
        <v>631</v>
      </c>
      <c r="C12" s="999"/>
      <c r="D12" s="1145">
        <v>5</v>
      </c>
      <c r="E12" s="1325">
        <f t="shared" si="0"/>
        <v>0.005</v>
      </c>
      <c r="F12" s="1263">
        <f t="shared" si="1"/>
        <v>4.506715</v>
      </c>
      <c r="G12" s="1321">
        <v>0.005</v>
      </c>
      <c r="H12" s="1321"/>
      <c r="I12" s="998"/>
    </row>
    <row r="13" spans="1:9" ht="12.75">
      <c r="A13" s="30">
        <f aca="true" t="shared" si="2" ref="A13:A46">A12+1</f>
        <v>3</v>
      </c>
      <c r="B13" s="995" t="s">
        <v>101</v>
      </c>
      <c r="C13" s="996"/>
      <c r="D13" s="1146">
        <v>1</v>
      </c>
      <c r="E13" s="1325">
        <f t="shared" si="0"/>
        <v>0.001</v>
      </c>
      <c r="F13" s="1263">
        <f t="shared" si="1"/>
        <v>0.901343</v>
      </c>
      <c r="G13" s="1321">
        <v>0.001</v>
      </c>
      <c r="H13" s="1321"/>
      <c r="I13" s="998" t="s">
        <v>390</v>
      </c>
    </row>
    <row r="14" spans="1:9" ht="12.75">
      <c r="A14" s="30">
        <f t="shared" si="2"/>
        <v>4</v>
      </c>
      <c r="B14" s="995" t="s">
        <v>632</v>
      </c>
      <c r="C14" s="999"/>
      <c r="D14" s="1146">
        <v>2</v>
      </c>
      <c r="E14" s="1325">
        <f t="shared" si="0"/>
        <v>0.002</v>
      </c>
      <c r="F14" s="1263">
        <f t="shared" si="1"/>
        <v>1.802686</v>
      </c>
      <c r="G14" s="1321">
        <v>0.002</v>
      </c>
      <c r="H14" s="1321"/>
      <c r="I14" s="998"/>
    </row>
    <row r="15" spans="1:9" ht="12.75">
      <c r="A15" s="30">
        <f t="shared" si="2"/>
        <v>5</v>
      </c>
      <c r="B15" s="995" t="s">
        <v>633</v>
      </c>
      <c r="C15" s="999"/>
      <c r="D15" s="1146">
        <v>1</v>
      </c>
      <c r="E15" s="1325">
        <f t="shared" si="0"/>
        <v>0.001</v>
      </c>
      <c r="F15" s="1263">
        <f t="shared" si="1"/>
        <v>0.901343</v>
      </c>
      <c r="G15" s="1321">
        <v>0.001</v>
      </c>
      <c r="H15" s="1321"/>
      <c r="I15" s="998"/>
    </row>
    <row r="16" spans="1:9" ht="12.75">
      <c r="A16" s="30">
        <f t="shared" si="2"/>
        <v>6</v>
      </c>
      <c r="B16" s="995" t="s">
        <v>473</v>
      </c>
      <c r="C16" s="999"/>
      <c r="D16" s="1146">
        <v>5</v>
      </c>
      <c r="E16" s="1325">
        <f t="shared" si="0"/>
        <v>0.005</v>
      </c>
      <c r="F16" s="1263">
        <f t="shared" si="1"/>
        <v>4.506715</v>
      </c>
      <c r="G16" s="1321">
        <v>0.005</v>
      </c>
      <c r="H16" s="1321"/>
      <c r="I16" s="1000"/>
    </row>
    <row r="17" spans="1:9" ht="12.75">
      <c r="A17" s="30">
        <f t="shared" si="2"/>
        <v>7</v>
      </c>
      <c r="B17" s="995" t="s">
        <v>605</v>
      </c>
      <c r="C17" s="999"/>
      <c r="D17" s="1145">
        <v>2</v>
      </c>
      <c r="E17" s="1325">
        <f t="shared" si="0"/>
        <v>0.002</v>
      </c>
      <c r="F17" s="1263">
        <f t="shared" si="1"/>
        <v>1.802686</v>
      </c>
      <c r="G17" s="1321">
        <v>0.002</v>
      </c>
      <c r="H17" s="1321"/>
      <c r="I17" s="998" t="s">
        <v>607</v>
      </c>
    </row>
    <row r="18" spans="1:9" ht="12.75">
      <c r="A18" s="30">
        <f t="shared" si="2"/>
        <v>8</v>
      </c>
      <c r="B18" s="995" t="s">
        <v>589</v>
      </c>
      <c r="C18" s="999"/>
      <c r="D18" s="1145">
        <v>10</v>
      </c>
      <c r="E18" s="1325">
        <f t="shared" si="0"/>
        <v>0.01</v>
      </c>
      <c r="F18" s="1263">
        <f t="shared" si="1"/>
        <v>9.01343</v>
      </c>
      <c r="G18" s="1323">
        <v>0.01</v>
      </c>
      <c r="H18" s="1324"/>
      <c r="I18" s="998"/>
    </row>
    <row r="19" spans="1:9" ht="12.75">
      <c r="A19" s="30">
        <f t="shared" si="2"/>
        <v>9</v>
      </c>
      <c r="B19" s="995" t="s">
        <v>590</v>
      </c>
      <c r="C19" s="1001"/>
      <c r="D19" s="1146">
        <v>20</v>
      </c>
      <c r="E19" s="1325">
        <f t="shared" si="0"/>
        <v>0.02</v>
      </c>
      <c r="F19" s="1263">
        <f t="shared" si="1"/>
        <v>18.02686</v>
      </c>
      <c r="G19" s="1322">
        <v>0.02</v>
      </c>
      <c r="H19" s="1322"/>
      <c r="I19" s="1002"/>
    </row>
    <row r="20" spans="1:9" ht="12.75">
      <c r="A20" s="30">
        <f t="shared" si="2"/>
        <v>10</v>
      </c>
      <c r="B20" s="1003" t="s">
        <v>592</v>
      </c>
      <c r="C20" s="1004"/>
      <c r="D20" s="1146">
        <v>10</v>
      </c>
      <c r="E20" s="1325">
        <f t="shared" si="0"/>
        <v>0.01</v>
      </c>
      <c r="F20" s="1263">
        <f t="shared" si="1"/>
        <v>9.01343</v>
      </c>
      <c r="G20" s="1321">
        <v>0.01</v>
      </c>
      <c r="H20" s="1321"/>
      <c r="I20" s="1000" t="s">
        <v>596</v>
      </c>
    </row>
    <row r="21" spans="1:9" ht="12.75">
      <c r="A21" s="30">
        <f t="shared" si="2"/>
        <v>11</v>
      </c>
      <c r="B21" s="1003" t="s">
        <v>15</v>
      </c>
      <c r="C21" s="999"/>
      <c r="D21" s="1146">
        <v>5</v>
      </c>
      <c r="E21" s="1325">
        <f t="shared" si="0"/>
        <v>0.005</v>
      </c>
      <c r="F21" s="1263">
        <f t="shared" si="1"/>
        <v>4.506715</v>
      </c>
      <c r="G21" s="1323">
        <v>0.005</v>
      </c>
      <c r="H21" s="1323"/>
      <c r="I21" s="997"/>
    </row>
    <row r="22" spans="1:9" ht="12.75">
      <c r="A22" s="30">
        <f t="shared" si="2"/>
        <v>12</v>
      </c>
      <c r="B22" s="1003" t="s">
        <v>451</v>
      </c>
      <c r="C22" s="996"/>
      <c r="D22" s="1146">
        <v>6</v>
      </c>
      <c r="E22" s="1325">
        <f t="shared" si="0"/>
        <v>0.006</v>
      </c>
      <c r="F22" s="1263">
        <f t="shared" si="1"/>
        <v>5.408058</v>
      </c>
      <c r="G22" s="1323">
        <v>0.006</v>
      </c>
      <c r="H22" s="1323"/>
      <c r="I22" s="1005"/>
    </row>
    <row r="23" spans="1:9" ht="12.75">
      <c r="A23" s="30">
        <f t="shared" si="2"/>
        <v>13</v>
      </c>
      <c r="B23" s="1003" t="s">
        <v>639</v>
      </c>
      <c r="C23" s="996"/>
      <c r="D23" s="1146">
        <v>1</v>
      </c>
      <c r="E23" s="1325">
        <f t="shared" si="0"/>
        <v>0.001</v>
      </c>
      <c r="F23" s="1263">
        <f t="shared" si="1"/>
        <v>0.901343</v>
      </c>
      <c r="G23" s="1323">
        <v>0.001</v>
      </c>
      <c r="H23" s="1323"/>
      <c r="I23" s="1005"/>
    </row>
    <row r="24" spans="1:9" ht="12.75">
      <c r="A24" s="30">
        <f t="shared" si="2"/>
        <v>14</v>
      </c>
      <c r="B24" s="1003" t="s">
        <v>640</v>
      </c>
      <c r="C24" s="996"/>
      <c r="D24" s="1146">
        <v>1</v>
      </c>
      <c r="E24" s="1325">
        <f t="shared" si="0"/>
        <v>0.001</v>
      </c>
      <c r="F24" s="1263">
        <f t="shared" si="1"/>
        <v>0.901343</v>
      </c>
      <c r="G24" s="1323">
        <v>0.001</v>
      </c>
      <c r="H24" s="1323"/>
      <c r="I24" s="1005"/>
    </row>
    <row r="25" spans="1:9" ht="12.75">
      <c r="A25" s="30">
        <f t="shared" si="2"/>
        <v>15</v>
      </c>
      <c r="B25" s="1003" t="s">
        <v>641</v>
      </c>
      <c r="C25" s="996"/>
      <c r="D25" s="1146">
        <v>1</v>
      </c>
      <c r="E25" s="1325">
        <f t="shared" si="0"/>
        <v>0.001</v>
      </c>
      <c r="F25" s="1263">
        <f t="shared" si="1"/>
        <v>0.901343</v>
      </c>
      <c r="G25" s="1323">
        <v>0.001</v>
      </c>
      <c r="H25" s="1323"/>
      <c r="I25" s="1005"/>
    </row>
    <row r="26" spans="1:9" ht="12.75">
      <c r="A26" s="30">
        <f t="shared" si="2"/>
        <v>16</v>
      </c>
      <c r="B26" s="1003" t="s">
        <v>642</v>
      </c>
      <c r="C26" s="996"/>
      <c r="D26" s="1146">
        <v>2</v>
      </c>
      <c r="E26" s="1325">
        <f t="shared" si="0"/>
        <v>0.002</v>
      </c>
      <c r="F26" s="1263">
        <f t="shared" si="1"/>
        <v>1.802686</v>
      </c>
      <c r="G26" s="1323">
        <v>0.002</v>
      </c>
      <c r="H26" s="1323"/>
      <c r="I26" s="1005" t="s">
        <v>430</v>
      </c>
    </row>
    <row r="27" spans="1:9" ht="12.75">
      <c r="A27" s="30">
        <f t="shared" si="2"/>
        <v>17</v>
      </c>
      <c r="B27" s="1003" t="s">
        <v>560</v>
      </c>
      <c r="C27" s="996" t="s">
        <v>875</v>
      </c>
      <c r="D27" s="1146">
        <v>101.48</v>
      </c>
      <c r="E27" s="1325">
        <f t="shared" si="0"/>
        <v>0.10148</v>
      </c>
      <c r="F27" s="1263">
        <v>182.664</v>
      </c>
      <c r="G27" s="1323"/>
      <c r="H27" s="1323">
        <v>0.101</v>
      </c>
      <c r="I27" s="1005" t="s">
        <v>884</v>
      </c>
    </row>
    <row r="28" spans="1:9" ht="12.75">
      <c r="A28" s="30">
        <f t="shared" si="2"/>
        <v>18</v>
      </c>
      <c r="B28" s="1003" t="s">
        <v>518</v>
      </c>
      <c r="C28" s="996" t="s">
        <v>515</v>
      </c>
      <c r="D28" s="1146">
        <v>11</v>
      </c>
      <c r="E28" s="1325">
        <f t="shared" si="0"/>
        <v>0.011</v>
      </c>
      <c r="F28" s="1263">
        <f aca="true" t="shared" si="3" ref="F28:F46">E28*901.343</f>
        <v>9.914772999999999</v>
      </c>
      <c r="G28" s="1323">
        <v>0.011</v>
      </c>
      <c r="H28" s="1323"/>
      <c r="I28" s="1005" t="s">
        <v>506</v>
      </c>
    </row>
    <row r="29" spans="1:9" ht="12.75">
      <c r="A29" s="30">
        <f t="shared" si="2"/>
        <v>19</v>
      </c>
      <c r="B29" s="1003" t="s">
        <v>504</v>
      </c>
      <c r="C29" s="1006" t="s">
        <v>516</v>
      </c>
      <c r="D29" s="1146">
        <v>9</v>
      </c>
      <c r="E29" s="1325">
        <f t="shared" si="0"/>
        <v>0.009</v>
      </c>
      <c r="F29" s="1263">
        <f t="shared" si="3"/>
        <v>8.112086999999999</v>
      </c>
      <c r="G29" s="1323">
        <v>0.009</v>
      </c>
      <c r="H29" s="1323"/>
      <c r="I29" s="1005" t="s">
        <v>506</v>
      </c>
    </row>
    <row r="30" spans="1:9" ht="12.75">
      <c r="A30" s="30">
        <f t="shared" si="2"/>
        <v>20</v>
      </c>
      <c r="B30" s="1003" t="s">
        <v>653</v>
      </c>
      <c r="C30" s="996"/>
      <c r="D30" s="1146">
        <v>6</v>
      </c>
      <c r="E30" s="1325">
        <f t="shared" si="0"/>
        <v>0.006</v>
      </c>
      <c r="F30" s="1263">
        <f t="shared" si="3"/>
        <v>5.408058</v>
      </c>
      <c r="G30" s="1323">
        <v>0.006</v>
      </c>
      <c r="H30" s="1323"/>
      <c r="I30" s="1005" t="s">
        <v>654</v>
      </c>
    </row>
    <row r="31" spans="1:9" ht="12.75">
      <c r="A31" s="30">
        <f t="shared" si="2"/>
        <v>21</v>
      </c>
      <c r="B31" s="1003" t="s">
        <v>485</v>
      </c>
      <c r="C31" s="996"/>
      <c r="D31" s="1146">
        <v>7</v>
      </c>
      <c r="E31" s="1325">
        <f t="shared" si="0"/>
        <v>0.007</v>
      </c>
      <c r="F31" s="1263">
        <f t="shared" si="3"/>
        <v>6.309401</v>
      </c>
      <c r="G31" s="1323">
        <v>0.007</v>
      </c>
      <c r="H31" s="1323"/>
      <c r="I31" s="1005"/>
    </row>
    <row r="32" spans="1:9" ht="12.75">
      <c r="A32" s="30">
        <f t="shared" si="2"/>
        <v>22</v>
      </c>
      <c r="B32" s="1003" t="s">
        <v>521</v>
      </c>
      <c r="C32" s="996"/>
      <c r="D32" s="1146">
        <v>5</v>
      </c>
      <c r="E32" s="1325">
        <f t="shared" si="0"/>
        <v>0.005</v>
      </c>
      <c r="F32" s="1263">
        <f t="shared" si="3"/>
        <v>4.506715</v>
      </c>
      <c r="G32" s="1323">
        <v>0.005</v>
      </c>
      <c r="H32" s="1323"/>
      <c r="I32" s="1005" t="s">
        <v>436</v>
      </c>
    </row>
    <row r="33" spans="1:9" ht="12.75">
      <c r="A33" s="30">
        <f t="shared" si="2"/>
        <v>23</v>
      </c>
      <c r="B33" s="1003" t="s">
        <v>486</v>
      </c>
      <c r="C33" s="996"/>
      <c r="D33" s="1146">
        <v>5</v>
      </c>
      <c r="E33" s="1325">
        <f t="shared" si="0"/>
        <v>0.005</v>
      </c>
      <c r="F33" s="1263">
        <f t="shared" si="3"/>
        <v>4.506715</v>
      </c>
      <c r="G33" s="1323">
        <v>0.005</v>
      </c>
      <c r="H33" s="1323"/>
      <c r="I33" s="1005"/>
    </row>
    <row r="34" spans="1:9" ht="12.75">
      <c r="A34" s="30">
        <f t="shared" si="2"/>
        <v>24</v>
      </c>
      <c r="B34" s="1003" t="s">
        <v>492</v>
      </c>
      <c r="C34" s="996"/>
      <c r="D34" s="1146">
        <v>5</v>
      </c>
      <c r="E34" s="1325">
        <f t="shared" si="0"/>
        <v>0.005</v>
      </c>
      <c r="F34" s="1263">
        <f t="shared" si="3"/>
        <v>4.506715</v>
      </c>
      <c r="G34" s="1323">
        <v>0.005</v>
      </c>
      <c r="H34" s="1323"/>
      <c r="I34" s="1005"/>
    </row>
    <row r="35" spans="1:9" ht="12.75">
      <c r="A35" s="30">
        <f t="shared" si="2"/>
        <v>25</v>
      </c>
      <c r="B35" s="1003" t="s">
        <v>428</v>
      </c>
      <c r="C35" s="996"/>
      <c r="D35" s="1146">
        <v>3</v>
      </c>
      <c r="E35" s="1325">
        <f t="shared" si="0"/>
        <v>0.003</v>
      </c>
      <c r="F35" s="1263">
        <f t="shared" si="3"/>
        <v>2.704029</v>
      </c>
      <c r="G35" s="1323">
        <v>0.003</v>
      </c>
      <c r="H35" s="1323"/>
      <c r="I35" s="1005"/>
    </row>
    <row r="36" spans="1:9" ht="12.75">
      <c r="A36" s="30">
        <f t="shared" si="2"/>
        <v>26</v>
      </c>
      <c r="B36" s="1003" t="s">
        <v>526</v>
      </c>
      <c r="C36" s="996"/>
      <c r="D36" s="1146">
        <v>3</v>
      </c>
      <c r="E36" s="1325">
        <f t="shared" si="0"/>
        <v>0.003</v>
      </c>
      <c r="F36" s="1263">
        <f t="shared" si="3"/>
        <v>2.704029</v>
      </c>
      <c r="G36" s="1323">
        <v>0.003</v>
      </c>
      <c r="H36" s="1323"/>
      <c r="I36" s="1005"/>
    </row>
    <row r="37" spans="1:9" ht="12.75">
      <c r="A37" s="30">
        <f t="shared" si="2"/>
        <v>27</v>
      </c>
      <c r="B37" s="1003" t="s">
        <v>532</v>
      </c>
      <c r="C37" s="996"/>
      <c r="D37" s="1146">
        <v>4</v>
      </c>
      <c r="E37" s="1325">
        <f t="shared" si="0"/>
        <v>0.004</v>
      </c>
      <c r="F37" s="1263">
        <f t="shared" si="3"/>
        <v>3.605372</v>
      </c>
      <c r="G37" s="1323">
        <v>0.004</v>
      </c>
      <c r="H37" s="1323"/>
      <c r="I37" s="1005"/>
    </row>
    <row r="38" spans="1:9" ht="12.75">
      <c r="A38" s="30">
        <f t="shared" si="2"/>
        <v>28</v>
      </c>
      <c r="B38" s="1003" t="s">
        <v>535</v>
      </c>
      <c r="C38" s="996"/>
      <c r="D38" s="1146">
        <v>5</v>
      </c>
      <c r="E38" s="1325">
        <f t="shared" si="0"/>
        <v>0.005</v>
      </c>
      <c r="F38" s="1263">
        <f t="shared" si="3"/>
        <v>4.506715</v>
      </c>
      <c r="G38" s="1323">
        <v>0.005</v>
      </c>
      <c r="H38" s="1323"/>
      <c r="I38" s="1005"/>
    </row>
    <row r="39" spans="1:9" ht="12.75">
      <c r="A39" s="30">
        <f t="shared" si="2"/>
        <v>29</v>
      </c>
      <c r="B39" s="1003" t="s">
        <v>460</v>
      </c>
      <c r="C39" s="996"/>
      <c r="D39" s="1146">
        <v>4</v>
      </c>
      <c r="E39" s="1325">
        <f t="shared" si="0"/>
        <v>0.004</v>
      </c>
      <c r="F39" s="1263">
        <f t="shared" si="3"/>
        <v>3.605372</v>
      </c>
      <c r="G39" s="1323">
        <v>0.004</v>
      </c>
      <c r="H39" s="1323"/>
      <c r="I39" s="1005"/>
    </row>
    <row r="40" spans="1:9" ht="12.75">
      <c r="A40" s="30">
        <f t="shared" si="2"/>
        <v>30</v>
      </c>
      <c r="B40" s="1003" t="s">
        <v>508</v>
      </c>
      <c r="C40" s="996" t="s">
        <v>515</v>
      </c>
      <c r="D40" s="1146">
        <v>11</v>
      </c>
      <c r="E40" s="1325">
        <f t="shared" si="0"/>
        <v>0.011</v>
      </c>
      <c r="F40" s="1263">
        <f t="shared" si="3"/>
        <v>9.914772999999999</v>
      </c>
      <c r="G40" s="1323">
        <v>0.011</v>
      </c>
      <c r="H40" s="1323"/>
      <c r="I40" s="1005" t="s">
        <v>506</v>
      </c>
    </row>
    <row r="41" spans="1:9" ht="12.75">
      <c r="A41" s="30">
        <f t="shared" si="2"/>
        <v>31</v>
      </c>
      <c r="B41" s="1003" t="s">
        <v>554</v>
      </c>
      <c r="C41" s="996"/>
      <c r="D41" s="1146">
        <v>5</v>
      </c>
      <c r="E41" s="1325">
        <f t="shared" si="0"/>
        <v>0.005</v>
      </c>
      <c r="F41" s="1263">
        <f t="shared" si="3"/>
        <v>4.506715</v>
      </c>
      <c r="G41" s="1323">
        <v>0.005</v>
      </c>
      <c r="H41" s="1323"/>
      <c r="I41" s="1005"/>
    </row>
    <row r="42" spans="1:9" ht="12.75">
      <c r="A42" s="30">
        <f t="shared" si="2"/>
        <v>32</v>
      </c>
      <c r="B42" s="1003" t="s">
        <v>555</v>
      </c>
      <c r="C42" s="996"/>
      <c r="D42" s="1146">
        <v>4</v>
      </c>
      <c r="E42" s="1325">
        <f t="shared" si="0"/>
        <v>0.004</v>
      </c>
      <c r="F42" s="1263">
        <f t="shared" si="3"/>
        <v>3.605372</v>
      </c>
      <c r="G42" s="1323">
        <v>0.004</v>
      </c>
      <c r="H42" s="1323"/>
      <c r="I42" s="1005"/>
    </row>
    <row r="43" spans="1:9" ht="12.75">
      <c r="A43" s="30">
        <f t="shared" si="2"/>
        <v>33</v>
      </c>
      <c r="B43" s="1003" t="s">
        <v>543</v>
      </c>
      <c r="C43" s="996"/>
      <c r="D43" s="1146">
        <v>3</v>
      </c>
      <c r="E43" s="1325">
        <f t="shared" si="0"/>
        <v>0.003</v>
      </c>
      <c r="F43" s="1263">
        <f t="shared" si="3"/>
        <v>2.704029</v>
      </c>
      <c r="G43" s="1323">
        <v>0.003</v>
      </c>
      <c r="H43" s="1323"/>
      <c r="I43" s="1005"/>
    </row>
    <row r="44" spans="1:9" ht="12.75">
      <c r="A44" s="30">
        <f t="shared" si="2"/>
        <v>34</v>
      </c>
      <c r="B44" s="1003" t="s">
        <v>544</v>
      </c>
      <c r="C44" s="996"/>
      <c r="D44" s="1146">
        <v>5</v>
      </c>
      <c r="E44" s="1325">
        <f t="shared" si="0"/>
        <v>0.005</v>
      </c>
      <c r="F44" s="1263">
        <f t="shared" si="3"/>
        <v>4.506715</v>
      </c>
      <c r="G44" s="1323">
        <v>0.005</v>
      </c>
      <c r="H44" s="1323"/>
      <c r="I44" s="1005"/>
    </row>
    <row r="45" spans="1:9" ht="12.75">
      <c r="A45" s="30">
        <f t="shared" si="2"/>
        <v>35</v>
      </c>
      <c r="B45" s="1003" t="s">
        <v>536</v>
      </c>
      <c r="C45" s="996"/>
      <c r="D45" s="1146">
        <v>3</v>
      </c>
      <c r="E45" s="1325">
        <f t="shared" si="0"/>
        <v>0.003</v>
      </c>
      <c r="F45" s="1263">
        <f t="shared" si="3"/>
        <v>2.704029</v>
      </c>
      <c r="G45" s="1323">
        <v>0.003</v>
      </c>
      <c r="H45" s="1323"/>
      <c r="I45" s="1005"/>
    </row>
    <row r="46" spans="1:9" ht="13.5" thickBot="1">
      <c r="A46" s="30">
        <f t="shared" si="2"/>
        <v>36</v>
      </c>
      <c r="B46" s="1003" t="s">
        <v>539</v>
      </c>
      <c r="C46" s="996"/>
      <c r="D46" s="1146">
        <v>6</v>
      </c>
      <c r="E46" s="1325">
        <f t="shared" si="0"/>
        <v>0.006</v>
      </c>
      <c r="F46" s="1263">
        <f t="shared" si="3"/>
        <v>5.408058</v>
      </c>
      <c r="G46" s="1322">
        <v>0.006</v>
      </c>
      <c r="H46" s="1322"/>
      <c r="I46" s="1005"/>
    </row>
    <row r="47" spans="1:9" ht="13.5" thickBot="1">
      <c r="A47" s="1010"/>
      <c r="B47" s="1011" t="s">
        <v>259</v>
      </c>
      <c r="C47" s="1012"/>
      <c r="D47" s="1013">
        <f>SUM(D11:D46)</f>
        <v>282.48</v>
      </c>
      <c r="E47" s="1144">
        <f>SUM(E11:E46)</f>
        <v>0.2824800000000001</v>
      </c>
      <c r="F47" s="1264">
        <f>SUM(F11:F46)</f>
        <v>345.8070829999998</v>
      </c>
      <c r="G47" s="1264">
        <f>SUM(G11:G46)</f>
        <v>0.18100000000000008</v>
      </c>
      <c r="H47" s="1264">
        <f>SUM(H11:H46)</f>
        <v>0.101</v>
      </c>
      <c r="I47" s="1009"/>
    </row>
    <row r="48" spans="1:9" ht="12.75">
      <c r="A48" s="1007"/>
      <c r="B48" s="1008" t="s">
        <v>260</v>
      </c>
      <c r="C48" s="1008"/>
      <c r="D48" s="1008"/>
      <c r="E48" s="1008"/>
      <c r="F48" s="1265"/>
      <c r="G48" s="1265"/>
      <c r="H48" s="1265"/>
      <c r="I48" s="1008"/>
    </row>
    <row r="49" spans="1:9" ht="12.75">
      <c r="A49" s="1007"/>
      <c r="B49" s="1007"/>
      <c r="C49" s="1007"/>
      <c r="D49" s="1007"/>
      <c r="E49" s="1007"/>
      <c r="F49" s="1266"/>
      <c r="G49" s="1266"/>
      <c r="H49" s="1266"/>
      <c r="I49" s="1007"/>
    </row>
    <row r="50" spans="1:11" ht="12.75">
      <c r="A50" s="112"/>
      <c r="B50" s="112"/>
      <c r="C50" s="112"/>
      <c r="D50" s="112"/>
      <c r="E50" s="112"/>
      <c r="F50" s="663"/>
      <c r="G50" s="663"/>
      <c r="H50" s="663"/>
      <c r="I50" s="112"/>
      <c r="K50" s="50"/>
    </row>
    <row r="51" spans="1:9" ht="15.75">
      <c r="A51" s="112"/>
      <c r="B51" s="43" t="s">
        <v>31</v>
      </c>
      <c r="C51" s="45"/>
      <c r="D51" s="54"/>
      <c r="E51" s="54" t="s">
        <v>74</v>
      </c>
      <c r="F51" s="1267"/>
      <c r="G51" s="1267"/>
      <c r="H51" s="1267"/>
      <c r="I51" s="112"/>
    </row>
    <row r="52" spans="1:9" ht="12.75">
      <c r="A52" s="112"/>
      <c r="B52" s="112"/>
      <c r="C52" s="112"/>
      <c r="D52" s="112"/>
      <c r="E52" s="112"/>
      <c r="F52" s="663"/>
      <c r="G52" s="663"/>
      <c r="H52" s="663"/>
      <c r="I52" s="112"/>
    </row>
    <row r="53" spans="1:9" ht="12.75">
      <c r="A53" s="112"/>
      <c r="B53" s="112"/>
      <c r="C53" s="112"/>
      <c r="D53" s="112"/>
      <c r="E53" s="112"/>
      <c r="F53" s="663"/>
      <c r="G53" s="663"/>
      <c r="H53" s="663"/>
      <c r="I53" s="112"/>
    </row>
    <row r="54" spans="1:9" ht="12.75">
      <c r="A54" s="112"/>
      <c r="B54" s="112"/>
      <c r="C54" s="112"/>
      <c r="D54" s="112"/>
      <c r="E54" s="112"/>
      <c r="F54" s="663"/>
      <c r="G54" s="663"/>
      <c r="H54" s="663"/>
      <c r="I54" s="112"/>
    </row>
    <row r="55" spans="1:9" ht="12.75">
      <c r="A55" s="112"/>
      <c r="B55" s="112"/>
      <c r="C55" s="112"/>
      <c r="D55" s="112"/>
      <c r="E55" s="112"/>
      <c r="F55" s="663"/>
      <c r="G55" s="663"/>
      <c r="H55" s="663"/>
      <c r="I55" s="112"/>
    </row>
    <row r="56" spans="1:9" ht="12.75">
      <c r="A56" s="112"/>
      <c r="B56" s="112"/>
      <c r="C56" s="112"/>
      <c r="D56" s="112"/>
      <c r="E56" s="112"/>
      <c r="F56" s="663"/>
      <c r="G56" s="663"/>
      <c r="H56" s="663"/>
      <c r="I56" s="112"/>
    </row>
    <row r="57" spans="1:9" ht="12.75">
      <c r="A57" s="112"/>
      <c r="B57" s="112"/>
      <c r="C57" s="112"/>
      <c r="D57" s="112"/>
      <c r="E57" s="112"/>
      <c r="F57" s="663"/>
      <c r="G57" s="663"/>
      <c r="H57" s="663"/>
      <c r="I57" s="112"/>
    </row>
  </sheetData>
  <sheetProtection/>
  <mergeCells count="7">
    <mergeCell ref="C1:I4"/>
    <mergeCell ref="A6:I6"/>
    <mergeCell ref="A7:I7"/>
    <mergeCell ref="B9:B10"/>
    <mergeCell ref="C9:C10"/>
    <mergeCell ref="I9:I10"/>
    <mergeCell ref="F9:F10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H71"/>
  <sheetViews>
    <sheetView workbookViewId="0" topLeftCell="A1">
      <pane xSplit="3" ySplit="5" topLeftCell="D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3" sqref="C83"/>
    </sheetView>
  </sheetViews>
  <sheetFormatPr defaultColWidth="9.00390625" defaultRowHeight="12.75"/>
  <cols>
    <col min="2" max="2" width="5.125" style="16" customWidth="1"/>
    <col min="3" max="3" width="24.625" style="0" customWidth="1"/>
    <col min="4" max="4" width="9.375" style="0" customWidth="1"/>
    <col min="5" max="5" width="8.875" style="16" customWidth="1"/>
    <col min="6" max="6" width="8.00390625" style="0" customWidth="1"/>
    <col min="7" max="7" width="9.125" style="16" customWidth="1"/>
    <col min="8" max="8" width="11.625" style="16" customWidth="1"/>
  </cols>
  <sheetData>
    <row r="1" spans="3:8" ht="76.5" customHeight="1">
      <c r="C1" s="7"/>
      <c r="D1" s="7"/>
      <c r="E1" s="17"/>
      <c r="F1" s="1676" t="s">
        <v>774</v>
      </c>
      <c r="G1" s="1676"/>
      <c r="H1" s="1676"/>
    </row>
    <row r="2" spans="2:8" ht="22.5" customHeight="1">
      <c r="B2" s="19"/>
      <c r="C2" s="1677" t="s">
        <v>773</v>
      </c>
      <c r="D2" s="1677"/>
      <c r="E2" s="1677"/>
      <c r="F2" s="1677"/>
      <c r="G2" s="1677"/>
      <c r="H2" s="1677"/>
    </row>
    <row r="3" spans="2:8" ht="22.5" customHeight="1" thickBot="1">
      <c r="B3" s="19"/>
      <c r="C3" s="1633"/>
      <c r="D3" s="1633"/>
      <c r="E3" s="1633"/>
      <c r="F3" s="1633"/>
      <c r="G3" s="1633"/>
      <c r="H3" s="1633"/>
    </row>
    <row r="4" spans="2:8" ht="22.5" customHeight="1">
      <c r="B4" s="1678" t="s">
        <v>2</v>
      </c>
      <c r="C4" s="1680" t="s">
        <v>3</v>
      </c>
      <c r="D4" s="1682" t="s">
        <v>96</v>
      </c>
      <c r="E4" s="1684" t="s">
        <v>97</v>
      </c>
      <c r="F4" s="1686" t="s">
        <v>98</v>
      </c>
      <c r="G4" s="1688" t="s">
        <v>99</v>
      </c>
      <c r="H4" s="1690" t="s">
        <v>243</v>
      </c>
    </row>
    <row r="5" spans="2:8" ht="27" customHeight="1" thickBot="1">
      <c r="B5" s="1679"/>
      <c r="C5" s="1681"/>
      <c r="D5" s="1683"/>
      <c r="E5" s="1685"/>
      <c r="F5" s="1687"/>
      <c r="G5" s="1689"/>
      <c r="H5" s="1691"/>
    </row>
    <row r="6" spans="2:8" ht="15.75" customHeight="1">
      <c r="B6" s="20">
        <v>1</v>
      </c>
      <c r="C6" s="728" t="s">
        <v>722</v>
      </c>
      <c r="D6" s="729"/>
      <c r="E6" s="730">
        <v>6</v>
      </c>
      <c r="F6" s="730"/>
      <c r="G6" s="1149"/>
      <c r="H6" s="1147">
        <f>(D6+E6+F6+G6)*0.800222</f>
        <v>4.801332</v>
      </c>
    </row>
    <row r="7" spans="2:8" ht="15.75" customHeight="1">
      <c r="B7" s="21">
        <f aca="true" t="shared" si="0" ref="B7:B64">B6+1</f>
        <v>2</v>
      </c>
      <c r="C7" s="22" t="s">
        <v>706</v>
      </c>
      <c r="D7" s="23"/>
      <c r="E7" s="24">
        <v>1</v>
      </c>
      <c r="F7" s="25"/>
      <c r="G7" s="1150"/>
      <c r="H7" s="1148">
        <f>(D7+E7+F7+G7)*0.800222</f>
        <v>0.800222</v>
      </c>
    </row>
    <row r="8" spans="2:8" ht="15.75" customHeight="1">
      <c r="B8" s="21">
        <f t="shared" si="0"/>
        <v>3</v>
      </c>
      <c r="C8" s="22" t="s">
        <v>25</v>
      </c>
      <c r="D8" s="635"/>
      <c r="E8" s="731">
        <v>4</v>
      </c>
      <c r="F8" s="732"/>
      <c r="G8" s="1151"/>
      <c r="H8" s="1148">
        <f aca="true" t="shared" si="1" ref="H8:H64">(D8+E8+F8+G8)*0.800222</f>
        <v>3.200888</v>
      </c>
    </row>
    <row r="9" spans="2:8" ht="15.75" customHeight="1">
      <c r="B9" s="21">
        <f t="shared" si="0"/>
        <v>4</v>
      </c>
      <c r="C9" s="28" t="s">
        <v>100</v>
      </c>
      <c r="D9" s="641"/>
      <c r="E9" s="683">
        <v>3</v>
      </c>
      <c r="F9" s="684"/>
      <c r="G9" s="1152"/>
      <c r="H9" s="1148">
        <f t="shared" si="1"/>
        <v>2.400666</v>
      </c>
    </row>
    <row r="10" spans="2:8" ht="15.75" customHeight="1">
      <c r="B10" s="21">
        <f t="shared" si="0"/>
        <v>5</v>
      </c>
      <c r="C10" s="28" t="s">
        <v>27</v>
      </c>
      <c r="D10" s="641"/>
      <c r="E10" s="683">
        <v>3</v>
      </c>
      <c r="F10" s="684"/>
      <c r="G10" s="1152"/>
      <c r="H10" s="1148">
        <f t="shared" si="1"/>
        <v>2.400666</v>
      </c>
    </row>
    <row r="11" spans="2:8" ht="15.75" customHeight="1">
      <c r="B11" s="21">
        <f t="shared" si="0"/>
        <v>6</v>
      </c>
      <c r="C11" s="28" t="s">
        <v>65</v>
      </c>
      <c r="D11" s="26"/>
      <c r="E11" s="27">
        <v>3</v>
      </c>
      <c r="F11" s="27"/>
      <c r="G11" s="1153">
        <v>4</v>
      </c>
      <c r="H11" s="1148">
        <f t="shared" si="1"/>
        <v>5.601554</v>
      </c>
    </row>
    <row r="12" spans="2:8" ht="15.75" customHeight="1">
      <c r="B12" s="21">
        <f t="shared" si="0"/>
        <v>7</v>
      </c>
      <c r="C12" s="28" t="s">
        <v>881</v>
      </c>
      <c r="D12" s="26"/>
      <c r="E12" s="27">
        <v>2</v>
      </c>
      <c r="F12" s="27"/>
      <c r="G12" s="1153"/>
      <c r="H12" s="1148">
        <f t="shared" si="1"/>
        <v>1.600444</v>
      </c>
    </row>
    <row r="13" spans="2:8" ht="15.75" customHeight="1">
      <c r="B13" s="21">
        <f t="shared" si="0"/>
        <v>8</v>
      </c>
      <c r="C13" s="28" t="s">
        <v>66</v>
      </c>
      <c r="D13" s="26"/>
      <c r="E13" s="29">
        <v>2</v>
      </c>
      <c r="F13" s="27"/>
      <c r="G13" s="1154"/>
      <c r="H13" s="1148">
        <f t="shared" si="1"/>
        <v>1.600444</v>
      </c>
    </row>
    <row r="14" spans="2:8" ht="15.75" customHeight="1">
      <c r="B14" s="21">
        <f t="shared" si="0"/>
        <v>9</v>
      </c>
      <c r="C14" s="28" t="s">
        <v>13</v>
      </c>
      <c r="D14" s="26"/>
      <c r="E14" s="27">
        <v>3</v>
      </c>
      <c r="F14" s="27"/>
      <c r="G14" s="1153"/>
      <c r="H14" s="1148">
        <f t="shared" si="1"/>
        <v>2.400666</v>
      </c>
    </row>
    <row r="15" spans="2:8" ht="15.75" customHeight="1">
      <c r="B15" s="21">
        <f t="shared" si="0"/>
        <v>10</v>
      </c>
      <c r="C15" s="28" t="s">
        <v>351</v>
      </c>
      <c r="D15" s="26"/>
      <c r="E15" s="27">
        <v>6</v>
      </c>
      <c r="F15" s="27"/>
      <c r="G15" s="1153"/>
      <c r="H15" s="1148">
        <f t="shared" si="1"/>
        <v>4.801332</v>
      </c>
    </row>
    <row r="16" spans="2:8" ht="15.75" customHeight="1">
      <c r="B16" s="21">
        <f t="shared" si="0"/>
        <v>11</v>
      </c>
      <c r="C16" s="28" t="s">
        <v>67</v>
      </c>
      <c r="D16" s="26"/>
      <c r="E16" s="27">
        <v>2</v>
      </c>
      <c r="F16" s="27"/>
      <c r="G16" s="1153"/>
      <c r="H16" s="1148">
        <f t="shared" si="1"/>
        <v>1.600444</v>
      </c>
    </row>
    <row r="17" spans="2:8" ht="15.75" customHeight="1">
      <c r="B17" s="21">
        <f t="shared" si="0"/>
        <v>12</v>
      </c>
      <c r="C17" s="28" t="s">
        <v>101</v>
      </c>
      <c r="D17" s="26"/>
      <c r="E17" s="27">
        <v>2</v>
      </c>
      <c r="F17" s="27"/>
      <c r="G17" s="1153"/>
      <c r="H17" s="1148">
        <f t="shared" si="1"/>
        <v>1.600444</v>
      </c>
    </row>
    <row r="18" spans="2:8" ht="15.75" customHeight="1">
      <c r="B18" s="21">
        <f t="shared" si="0"/>
        <v>13</v>
      </c>
      <c r="C18" s="28" t="s">
        <v>470</v>
      </c>
      <c r="D18" s="641">
        <v>1</v>
      </c>
      <c r="E18" s="683">
        <v>1</v>
      </c>
      <c r="F18" s="684"/>
      <c r="G18" s="1152"/>
      <c r="H18" s="1148">
        <f t="shared" si="1"/>
        <v>1.600444</v>
      </c>
    </row>
    <row r="19" spans="2:8" ht="15.75" customHeight="1">
      <c r="B19" s="21">
        <f t="shared" si="0"/>
        <v>14</v>
      </c>
      <c r="C19" s="28" t="s">
        <v>632</v>
      </c>
      <c r="D19" s="884"/>
      <c r="E19" s="29">
        <v>4</v>
      </c>
      <c r="F19" s="27"/>
      <c r="G19" s="1154"/>
      <c r="H19" s="1148">
        <f t="shared" si="1"/>
        <v>3.200888</v>
      </c>
    </row>
    <row r="20" spans="2:8" ht="15.75" customHeight="1">
      <c r="B20" s="21">
        <f t="shared" si="0"/>
        <v>15</v>
      </c>
      <c r="C20" s="28" t="s">
        <v>473</v>
      </c>
      <c r="D20" s="641"/>
      <c r="E20" s="684">
        <v>1</v>
      </c>
      <c r="F20" s="684"/>
      <c r="G20" s="642"/>
      <c r="H20" s="1148">
        <f t="shared" si="1"/>
        <v>0.800222</v>
      </c>
    </row>
    <row r="21" spans="2:8" ht="15.75" customHeight="1">
      <c r="B21" s="21">
        <f t="shared" si="0"/>
        <v>16</v>
      </c>
      <c r="C21" s="28" t="s">
        <v>719</v>
      </c>
      <c r="D21" s="26"/>
      <c r="E21" s="29">
        <v>2</v>
      </c>
      <c r="F21" s="27"/>
      <c r="G21" s="1154"/>
      <c r="H21" s="1148">
        <f t="shared" si="1"/>
        <v>1.600444</v>
      </c>
    </row>
    <row r="22" spans="2:8" ht="15.75" customHeight="1">
      <c r="B22" s="21">
        <f t="shared" si="0"/>
        <v>17</v>
      </c>
      <c r="C22" s="28" t="s">
        <v>44</v>
      </c>
      <c r="D22" s="641"/>
      <c r="E22" s="683">
        <v>1</v>
      </c>
      <c r="F22" s="684"/>
      <c r="G22" s="1152"/>
      <c r="H22" s="1148">
        <f t="shared" si="1"/>
        <v>0.800222</v>
      </c>
    </row>
    <row r="23" spans="2:8" ht="15.75" customHeight="1">
      <c r="B23" s="21">
        <f t="shared" si="0"/>
        <v>18</v>
      </c>
      <c r="C23" s="28" t="s">
        <v>454</v>
      </c>
      <c r="D23" s="641"/>
      <c r="E23" s="683">
        <v>2</v>
      </c>
      <c r="F23" s="684"/>
      <c r="G23" s="1152"/>
      <c r="H23" s="1148">
        <f t="shared" si="1"/>
        <v>1.600444</v>
      </c>
    </row>
    <row r="24" spans="2:8" ht="15.75" customHeight="1">
      <c r="B24" s="21">
        <f t="shared" si="0"/>
        <v>19</v>
      </c>
      <c r="C24" s="28" t="s">
        <v>440</v>
      </c>
      <c r="D24" s="641"/>
      <c r="E24" s="683">
        <v>2</v>
      </c>
      <c r="F24" s="684"/>
      <c r="G24" s="1152"/>
      <c r="H24" s="1148">
        <f t="shared" si="1"/>
        <v>1.600444</v>
      </c>
    </row>
    <row r="25" spans="2:8" ht="15.75" customHeight="1">
      <c r="B25" s="21">
        <f t="shared" si="0"/>
        <v>20</v>
      </c>
      <c r="C25" s="28" t="s">
        <v>431</v>
      </c>
      <c r="D25" s="641"/>
      <c r="E25" s="683">
        <v>2</v>
      </c>
      <c r="F25" s="684"/>
      <c r="G25" s="1152"/>
      <c r="H25" s="1148">
        <f t="shared" si="1"/>
        <v>1.600444</v>
      </c>
    </row>
    <row r="26" spans="2:8" ht="15.75" customHeight="1">
      <c r="B26" s="21">
        <f t="shared" si="0"/>
        <v>21</v>
      </c>
      <c r="C26" s="28" t="s">
        <v>123</v>
      </c>
      <c r="D26" s="641"/>
      <c r="E26" s="683">
        <v>1</v>
      </c>
      <c r="F26" s="684"/>
      <c r="G26" s="1152"/>
      <c r="H26" s="1148">
        <f t="shared" si="1"/>
        <v>0.800222</v>
      </c>
    </row>
    <row r="27" spans="2:8" ht="15.75" customHeight="1">
      <c r="B27" s="21">
        <f t="shared" si="0"/>
        <v>22</v>
      </c>
      <c r="C27" s="28" t="s">
        <v>421</v>
      </c>
      <c r="D27" s="641"/>
      <c r="E27" s="683">
        <v>2</v>
      </c>
      <c r="F27" s="684"/>
      <c r="G27" s="1152"/>
      <c r="H27" s="1148">
        <f t="shared" si="1"/>
        <v>1.600444</v>
      </c>
    </row>
    <row r="28" spans="2:8" ht="15.75" customHeight="1">
      <c r="B28" s="21">
        <f t="shared" si="0"/>
        <v>23</v>
      </c>
      <c r="C28" s="28" t="s">
        <v>418</v>
      </c>
      <c r="D28" s="641"/>
      <c r="E28" s="683">
        <v>2</v>
      </c>
      <c r="F28" s="684"/>
      <c r="G28" s="1152"/>
      <c r="H28" s="1148">
        <f t="shared" si="1"/>
        <v>1.600444</v>
      </c>
    </row>
    <row r="29" spans="2:8" ht="15.75" customHeight="1">
      <c r="B29" s="21">
        <f t="shared" si="0"/>
        <v>24</v>
      </c>
      <c r="C29" s="28" t="s">
        <v>46</v>
      </c>
      <c r="D29" s="641"/>
      <c r="E29" s="683">
        <v>2</v>
      </c>
      <c r="F29" s="684"/>
      <c r="G29" s="1152"/>
      <c r="H29" s="1148">
        <f t="shared" si="1"/>
        <v>1.600444</v>
      </c>
    </row>
    <row r="30" spans="2:8" ht="15.75" customHeight="1">
      <c r="B30" s="21">
        <f t="shared" si="0"/>
        <v>25</v>
      </c>
      <c r="C30" s="28" t="s">
        <v>608</v>
      </c>
      <c r="D30" s="641">
        <v>2</v>
      </c>
      <c r="E30" s="683">
        <v>36</v>
      </c>
      <c r="F30" s="684">
        <v>4</v>
      </c>
      <c r="G30" s="1152">
        <v>4</v>
      </c>
      <c r="H30" s="1148">
        <f t="shared" si="1"/>
        <v>36.810212</v>
      </c>
    </row>
    <row r="31" spans="2:8" ht="15.75" customHeight="1">
      <c r="B31" s="21">
        <f t="shared" si="0"/>
        <v>26</v>
      </c>
      <c r="C31" s="28" t="s">
        <v>636</v>
      </c>
      <c r="D31" s="641"/>
      <c r="E31" s="683"/>
      <c r="F31" s="684">
        <v>1</v>
      </c>
      <c r="G31" s="1152">
        <v>1</v>
      </c>
      <c r="H31" s="1148">
        <f t="shared" si="1"/>
        <v>1.600444</v>
      </c>
    </row>
    <row r="32" spans="2:8" ht="15.75" customHeight="1">
      <c r="B32" s="21">
        <f t="shared" si="0"/>
        <v>27</v>
      </c>
      <c r="C32" s="28" t="s">
        <v>69</v>
      </c>
      <c r="D32" s="26"/>
      <c r="E32" s="27">
        <v>5</v>
      </c>
      <c r="F32" s="27"/>
      <c r="G32" s="1153"/>
      <c r="H32" s="1148">
        <f t="shared" si="1"/>
        <v>4.00111</v>
      </c>
    </row>
    <row r="33" spans="2:8" ht="15.75" customHeight="1">
      <c r="B33" s="21">
        <f t="shared" si="0"/>
        <v>28</v>
      </c>
      <c r="C33" s="28" t="s">
        <v>15</v>
      </c>
      <c r="D33" s="26"/>
      <c r="E33" s="29">
        <v>2</v>
      </c>
      <c r="F33" s="27">
        <v>3</v>
      </c>
      <c r="G33" s="1154"/>
      <c r="H33" s="1148">
        <f t="shared" si="1"/>
        <v>4.00111</v>
      </c>
    </row>
    <row r="34" spans="2:8" ht="15.75" customHeight="1">
      <c r="B34" s="21">
        <f t="shared" si="0"/>
        <v>29</v>
      </c>
      <c r="C34" s="28" t="s">
        <v>47</v>
      </c>
      <c r="D34" s="26"/>
      <c r="E34" s="27">
        <v>2</v>
      </c>
      <c r="F34" s="27"/>
      <c r="G34" s="1153"/>
      <c r="H34" s="1148">
        <f t="shared" si="1"/>
        <v>1.600444</v>
      </c>
    </row>
    <row r="35" spans="2:8" ht="15.75" customHeight="1">
      <c r="B35" s="21">
        <f t="shared" si="0"/>
        <v>30</v>
      </c>
      <c r="C35" s="28" t="s">
        <v>48</v>
      </c>
      <c r="D35" s="26"/>
      <c r="E35" s="27">
        <v>5</v>
      </c>
      <c r="F35" s="27"/>
      <c r="G35" s="1153"/>
      <c r="H35" s="1148">
        <f t="shared" si="1"/>
        <v>4.00111</v>
      </c>
    </row>
    <row r="36" spans="2:8" ht="15.75" customHeight="1">
      <c r="B36" s="21">
        <f t="shared" si="0"/>
        <v>31</v>
      </c>
      <c r="C36" s="28" t="s">
        <v>49</v>
      </c>
      <c r="D36" s="26"/>
      <c r="E36" s="27">
        <v>8</v>
      </c>
      <c r="F36" s="27"/>
      <c r="G36" s="1153"/>
      <c r="H36" s="1148">
        <f t="shared" si="1"/>
        <v>6.401776</v>
      </c>
    </row>
    <row r="37" spans="2:8" ht="15.75" customHeight="1">
      <c r="B37" s="21">
        <f t="shared" si="0"/>
        <v>32</v>
      </c>
      <c r="C37" s="28" t="s">
        <v>16</v>
      </c>
      <c r="D37" s="26"/>
      <c r="E37" s="27">
        <v>7</v>
      </c>
      <c r="F37" s="27"/>
      <c r="G37" s="1153"/>
      <c r="H37" s="1148">
        <f t="shared" si="1"/>
        <v>5.601554</v>
      </c>
    </row>
    <row r="38" spans="2:8" ht="15.75" customHeight="1">
      <c r="B38" s="21">
        <f t="shared" si="0"/>
        <v>33</v>
      </c>
      <c r="C38" s="28" t="s">
        <v>70</v>
      </c>
      <c r="D38" s="26"/>
      <c r="E38" s="27">
        <v>4</v>
      </c>
      <c r="F38" s="27"/>
      <c r="G38" s="1153"/>
      <c r="H38" s="1148">
        <f t="shared" si="1"/>
        <v>3.200888</v>
      </c>
    </row>
    <row r="39" spans="2:8" ht="15.75" customHeight="1">
      <c r="B39" s="21">
        <f t="shared" si="0"/>
        <v>34</v>
      </c>
      <c r="C39" s="28" t="s">
        <v>17</v>
      </c>
      <c r="D39" s="641"/>
      <c r="E39" s="683">
        <v>10</v>
      </c>
      <c r="F39" s="684"/>
      <c r="G39" s="1152"/>
      <c r="H39" s="1148">
        <f t="shared" si="1"/>
        <v>8.00222</v>
      </c>
    </row>
    <row r="40" spans="2:8" ht="15.75" customHeight="1">
      <c r="B40" s="21">
        <f t="shared" si="0"/>
        <v>35</v>
      </c>
      <c r="C40" s="681" t="s">
        <v>439</v>
      </c>
      <c r="D40" s="641"/>
      <c r="E40" s="684">
        <v>2</v>
      </c>
      <c r="F40" s="684"/>
      <c r="G40" s="642"/>
      <c r="H40" s="1148">
        <f t="shared" si="1"/>
        <v>1.600444</v>
      </c>
    </row>
    <row r="41" spans="2:8" ht="15.75" customHeight="1">
      <c r="B41" s="21">
        <f t="shared" si="0"/>
        <v>36</v>
      </c>
      <c r="C41" s="28" t="s">
        <v>453</v>
      </c>
      <c r="D41" s="641"/>
      <c r="E41" s="684">
        <v>2</v>
      </c>
      <c r="F41" s="684"/>
      <c r="G41" s="642"/>
      <c r="H41" s="1148">
        <f t="shared" si="1"/>
        <v>1.600444</v>
      </c>
    </row>
    <row r="42" spans="2:8" ht="15.75" customHeight="1">
      <c r="B42" s="21">
        <f t="shared" si="0"/>
        <v>37</v>
      </c>
      <c r="C42" s="28" t="s">
        <v>501</v>
      </c>
      <c r="D42" s="641"/>
      <c r="E42" s="683">
        <v>2</v>
      </c>
      <c r="F42" s="684"/>
      <c r="G42" s="1152"/>
      <c r="H42" s="1148">
        <f t="shared" si="1"/>
        <v>1.600444</v>
      </c>
    </row>
    <row r="43" spans="2:8" ht="15.75" customHeight="1">
      <c r="B43" s="21">
        <f t="shared" si="0"/>
        <v>38</v>
      </c>
      <c r="C43" s="28" t="s">
        <v>618</v>
      </c>
      <c r="D43" s="641">
        <v>1</v>
      </c>
      <c r="E43" s="683">
        <v>1</v>
      </c>
      <c r="F43" s="684"/>
      <c r="G43" s="1152"/>
      <c r="H43" s="1148">
        <f t="shared" si="1"/>
        <v>1.600444</v>
      </c>
    </row>
    <row r="44" spans="2:8" ht="15.75" customHeight="1">
      <c r="B44" s="21">
        <f t="shared" si="0"/>
        <v>39</v>
      </c>
      <c r="C44" s="28" t="s">
        <v>616</v>
      </c>
      <c r="D44" s="641">
        <v>1</v>
      </c>
      <c r="E44" s="683">
        <v>1</v>
      </c>
      <c r="F44" s="684"/>
      <c r="G44" s="1152"/>
      <c r="H44" s="1148">
        <f t="shared" si="1"/>
        <v>1.600444</v>
      </c>
    </row>
    <row r="45" spans="2:8" ht="15.75" customHeight="1">
      <c r="B45" s="21">
        <f t="shared" si="0"/>
        <v>40</v>
      </c>
      <c r="C45" s="28" t="s">
        <v>610</v>
      </c>
      <c r="D45" s="641">
        <v>1</v>
      </c>
      <c r="E45" s="683"/>
      <c r="F45" s="684"/>
      <c r="G45" s="1152"/>
      <c r="H45" s="1148">
        <f t="shared" si="1"/>
        <v>0.800222</v>
      </c>
    </row>
    <row r="46" spans="2:8" ht="15.75" customHeight="1">
      <c r="B46" s="21">
        <f t="shared" si="0"/>
        <v>41</v>
      </c>
      <c r="C46" s="28" t="s">
        <v>657</v>
      </c>
      <c r="D46" s="26">
        <v>1</v>
      </c>
      <c r="E46" s="29"/>
      <c r="F46" s="27"/>
      <c r="G46" s="1154"/>
      <c r="H46" s="1148">
        <f t="shared" si="1"/>
        <v>0.800222</v>
      </c>
    </row>
    <row r="47" spans="2:8" ht="15.75" customHeight="1">
      <c r="B47" s="21">
        <f t="shared" si="0"/>
        <v>42</v>
      </c>
      <c r="C47" s="28" t="s">
        <v>567</v>
      </c>
      <c r="D47" s="641">
        <v>2</v>
      </c>
      <c r="E47" s="683"/>
      <c r="F47" s="684"/>
      <c r="G47" s="1152"/>
      <c r="H47" s="1148">
        <f t="shared" si="1"/>
        <v>1.600444</v>
      </c>
    </row>
    <row r="48" spans="2:8" ht="15.75" customHeight="1">
      <c r="B48" s="21">
        <f t="shared" si="0"/>
        <v>43</v>
      </c>
      <c r="C48" s="28" t="s">
        <v>663</v>
      </c>
      <c r="D48" s="26">
        <v>9</v>
      </c>
      <c r="E48" s="29"/>
      <c r="F48" s="27"/>
      <c r="G48" s="1154"/>
      <c r="H48" s="1148">
        <f t="shared" si="1"/>
        <v>7.201998</v>
      </c>
    </row>
    <row r="49" spans="2:8" ht="15.75" customHeight="1">
      <c r="B49" s="21">
        <f t="shared" si="0"/>
        <v>44</v>
      </c>
      <c r="C49" s="28" t="s">
        <v>675</v>
      </c>
      <c r="D49" s="26"/>
      <c r="E49" s="29">
        <v>2</v>
      </c>
      <c r="F49" s="27"/>
      <c r="G49" s="1154"/>
      <c r="H49" s="1148">
        <f t="shared" si="1"/>
        <v>1.600444</v>
      </c>
    </row>
    <row r="50" spans="2:8" ht="15.75" customHeight="1">
      <c r="B50" s="21">
        <f t="shared" si="0"/>
        <v>45</v>
      </c>
      <c r="C50" s="28" t="s">
        <v>736</v>
      </c>
      <c r="D50" s="641"/>
      <c r="E50" s="683">
        <v>6</v>
      </c>
      <c r="F50" s="684"/>
      <c r="G50" s="1152">
        <v>1</v>
      </c>
      <c r="H50" s="1148">
        <f t="shared" si="1"/>
        <v>5.601554</v>
      </c>
    </row>
    <row r="51" spans="2:8" ht="15.75" customHeight="1">
      <c r="B51" s="21">
        <f t="shared" si="0"/>
        <v>46</v>
      </c>
      <c r="C51" s="28" t="s">
        <v>569</v>
      </c>
      <c r="D51" s="641">
        <v>5</v>
      </c>
      <c r="E51" s="683"/>
      <c r="F51" s="684"/>
      <c r="G51" s="1152"/>
      <c r="H51" s="1148">
        <f t="shared" si="1"/>
        <v>4.00111</v>
      </c>
    </row>
    <row r="52" spans="2:8" ht="15.75" customHeight="1">
      <c r="B52" s="21">
        <f t="shared" si="0"/>
        <v>47</v>
      </c>
      <c r="C52" s="28" t="s">
        <v>655</v>
      </c>
      <c r="D52" s="641">
        <v>7</v>
      </c>
      <c r="E52" s="683"/>
      <c r="F52" s="684"/>
      <c r="G52" s="1152"/>
      <c r="H52" s="1148">
        <f t="shared" si="1"/>
        <v>5.601554</v>
      </c>
    </row>
    <row r="53" spans="2:8" ht="15.75" customHeight="1">
      <c r="B53" s="21">
        <f t="shared" si="0"/>
        <v>48</v>
      </c>
      <c r="C53" s="28" t="s">
        <v>659</v>
      </c>
      <c r="D53" s="641">
        <v>9</v>
      </c>
      <c r="E53" s="683"/>
      <c r="F53" s="684"/>
      <c r="G53" s="1152"/>
      <c r="H53" s="1148">
        <f t="shared" si="1"/>
        <v>7.201998</v>
      </c>
    </row>
    <row r="54" spans="2:8" ht="15.75" customHeight="1">
      <c r="B54" s="21">
        <f t="shared" si="0"/>
        <v>49</v>
      </c>
      <c r="C54" s="28" t="s">
        <v>656</v>
      </c>
      <c r="D54" s="26">
        <v>11</v>
      </c>
      <c r="E54" s="27"/>
      <c r="F54" s="27"/>
      <c r="G54" s="1153"/>
      <c r="H54" s="1148">
        <f t="shared" si="1"/>
        <v>8.802442</v>
      </c>
    </row>
    <row r="55" spans="2:8" ht="15.75" customHeight="1">
      <c r="B55" s="21">
        <f t="shared" si="0"/>
        <v>50</v>
      </c>
      <c r="C55" s="28" t="s">
        <v>728</v>
      </c>
      <c r="D55" s="26">
        <v>1</v>
      </c>
      <c r="E55" s="29">
        <v>2</v>
      </c>
      <c r="F55" s="27"/>
      <c r="G55" s="1154"/>
      <c r="H55" s="1148">
        <f t="shared" si="1"/>
        <v>2.400666</v>
      </c>
    </row>
    <row r="56" spans="2:8" ht="15.75" customHeight="1">
      <c r="B56" s="21">
        <f t="shared" si="0"/>
        <v>51</v>
      </c>
      <c r="C56" s="28" t="s">
        <v>672</v>
      </c>
      <c r="D56" s="641">
        <v>1</v>
      </c>
      <c r="E56" s="875"/>
      <c r="F56" s="684"/>
      <c r="G56" s="1152"/>
      <c r="H56" s="1148">
        <f t="shared" si="1"/>
        <v>0.800222</v>
      </c>
    </row>
    <row r="57" spans="2:8" ht="15.75" customHeight="1">
      <c r="B57" s="21">
        <f t="shared" si="0"/>
        <v>52</v>
      </c>
      <c r="C57" s="28" t="s">
        <v>643</v>
      </c>
      <c r="D57" s="26"/>
      <c r="E57" s="29">
        <v>4</v>
      </c>
      <c r="F57" s="27"/>
      <c r="G57" s="1154"/>
      <c r="H57" s="1148">
        <f t="shared" si="1"/>
        <v>3.200888</v>
      </c>
    </row>
    <row r="58" spans="2:8" ht="15.75" customHeight="1">
      <c r="B58" s="21">
        <f t="shared" si="0"/>
        <v>53</v>
      </c>
      <c r="C58" s="28" t="s">
        <v>670</v>
      </c>
      <c r="D58" s="26"/>
      <c r="E58" s="29">
        <v>1</v>
      </c>
      <c r="F58" s="27"/>
      <c r="G58" s="1154"/>
      <c r="H58" s="1148">
        <f t="shared" si="1"/>
        <v>0.800222</v>
      </c>
    </row>
    <row r="59" spans="2:8" ht="15.75" customHeight="1">
      <c r="B59" s="21">
        <f t="shared" si="0"/>
        <v>54</v>
      </c>
      <c r="C59" s="28" t="s">
        <v>102</v>
      </c>
      <c r="D59" s="635"/>
      <c r="E59" s="731">
        <v>2</v>
      </c>
      <c r="F59" s="732"/>
      <c r="G59" s="1152"/>
      <c r="H59" s="1148">
        <f t="shared" si="1"/>
        <v>1.600444</v>
      </c>
    </row>
    <row r="60" spans="2:8" ht="15.75" customHeight="1">
      <c r="B60" s="21">
        <f t="shared" si="0"/>
        <v>55</v>
      </c>
      <c r="C60" s="28" t="s">
        <v>22</v>
      </c>
      <c r="D60" s="635"/>
      <c r="E60" s="732">
        <v>2</v>
      </c>
      <c r="F60" s="732"/>
      <c r="G60" s="1152"/>
      <c r="H60" s="1148">
        <f t="shared" si="1"/>
        <v>1.600444</v>
      </c>
    </row>
    <row r="61" spans="2:8" ht="15.75" customHeight="1">
      <c r="B61" s="21">
        <f t="shared" si="0"/>
        <v>56</v>
      </c>
      <c r="C61" s="28" t="s">
        <v>19</v>
      </c>
      <c r="D61" s="635"/>
      <c r="E61" s="731">
        <v>3</v>
      </c>
      <c r="F61" s="732"/>
      <c r="G61" s="1152"/>
      <c r="H61" s="1148">
        <f t="shared" si="1"/>
        <v>2.400666</v>
      </c>
    </row>
    <row r="62" spans="2:8" ht="15.75" customHeight="1">
      <c r="B62" s="21">
        <f t="shared" si="0"/>
        <v>57</v>
      </c>
      <c r="C62" s="28" t="s">
        <v>20</v>
      </c>
      <c r="D62" s="635"/>
      <c r="E62" s="731">
        <v>3</v>
      </c>
      <c r="F62" s="732"/>
      <c r="G62" s="1152"/>
      <c r="H62" s="1148">
        <f t="shared" si="1"/>
        <v>2.400666</v>
      </c>
    </row>
    <row r="63" spans="2:8" ht="15.75" customHeight="1">
      <c r="B63" s="21">
        <f t="shared" si="0"/>
        <v>58</v>
      </c>
      <c r="C63" s="28" t="s">
        <v>21</v>
      </c>
      <c r="D63" s="635"/>
      <c r="E63" s="731">
        <v>5</v>
      </c>
      <c r="F63" s="732"/>
      <c r="G63" s="1152"/>
      <c r="H63" s="1148">
        <f t="shared" si="1"/>
        <v>4.00111</v>
      </c>
    </row>
    <row r="64" spans="2:8" ht="15.75" customHeight="1" thickBot="1">
      <c r="B64" s="21">
        <f t="shared" si="0"/>
        <v>59</v>
      </c>
      <c r="C64" s="28" t="s">
        <v>50</v>
      </c>
      <c r="D64" s="1155"/>
      <c r="E64" s="1156">
        <v>2</v>
      </c>
      <c r="F64" s="1156"/>
      <c r="G64" s="1157"/>
      <c r="H64" s="1148">
        <f t="shared" si="1"/>
        <v>1.600444</v>
      </c>
    </row>
    <row r="65" spans="2:8" ht="17.25" customHeight="1" thickBot="1">
      <c r="B65" s="31"/>
      <c r="C65" s="32" t="s">
        <v>72</v>
      </c>
      <c r="D65" s="33">
        <f>SUM(D6:D64)</f>
        <v>52</v>
      </c>
      <c r="E65" s="33">
        <f>SUM(E6:E64)</f>
        <v>178</v>
      </c>
      <c r="F65" s="33">
        <f>SUM(F6:F64)</f>
        <v>8</v>
      </c>
      <c r="G65" s="62">
        <f>SUM(G6:G64)</f>
        <v>10</v>
      </c>
      <c r="H65" s="733">
        <f>(D65+E65+F65+G65)*0.800222</f>
        <v>198.45505599999998</v>
      </c>
    </row>
    <row r="66" spans="2:8" ht="28.5" customHeight="1" hidden="1">
      <c r="B66" s="34"/>
      <c r="C66" s="35"/>
      <c r="D66" s="36">
        <f>562.86*D65</f>
        <v>29268.72</v>
      </c>
      <c r="E66" s="37">
        <f>285.56*E65</f>
        <v>50829.68</v>
      </c>
      <c r="F66" s="37">
        <f>568.76*F65</f>
        <v>4550.08</v>
      </c>
      <c r="G66" s="37">
        <f>344.56*G65</f>
        <v>3445.6</v>
      </c>
      <c r="H66" s="733">
        <f>(D66+E66+F66+G66)*0.800222</f>
        <v>70494.82088576</v>
      </c>
    </row>
    <row r="67" spans="2:8" ht="16.5" thickBot="1">
      <c r="B67" s="31"/>
      <c r="C67" s="1158" t="s">
        <v>103</v>
      </c>
      <c r="D67" s="33">
        <f>D65+E65+F65+G65</f>
        <v>248</v>
      </c>
      <c r="E67" s="38"/>
      <c r="F67" s="39"/>
      <c r="G67" s="61"/>
      <c r="H67" s="733">
        <f>(D67+E67+F67+G67)*0.800222</f>
        <v>198.45505599999998</v>
      </c>
    </row>
    <row r="68" spans="2:8" ht="12.75">
      <c r="B68" s="34"/>
      <c r="C68" s="1"/>
      <c r="D68" s="1"/>
      <c r="E68" s="34"/>
      <c r="F68" s="1"/>
      <c r="G68" s="34"/>
      <c r="H68" s="34"/>
    </row>
    <row r="69" spans="2:8" ht="12.75">
      <c r="B69" s="34"/>
      <c r="C69" s="1"/>
      <c r="D69" s="1"/>
      <c r="E69" s="34"/>
      <c r="F69" s="1"/>
      <c r="G69" s="34"/>
      <c r="H69" s="34"/>
    </row>
    <row r="70" spans="2:8" ht="12.75">
      <c r="B70" s="34"/>
      <c r="C70" s="1" t="s">
        <v>73</v>
      </c>
      <c r="D70" s="1"/>
      <c r="E70" s="34"/>
      <c r="F70" s="1" t="s">
        <v>74</v>
      </c>
      <c r="G70" s="34"/>
      <c r="H70" s="34"/>
    </row>
    <row r="71" spans="2:8" ht="12.75">
      <c r="B71" s="34"/>
      <c r="C71" s="1"/>
      <c r="D71" s="1"/>
      <c r="E71" s="34"/>
      <c r="F71" s="1"/>
      <c r="G71" s="34"/>
      <c r="H71" s="34"/>
    </row>
  </sheetData>
  <sheetProtection/>
  <mergeCells count="9">
    <mergeCell ref="F1:H1"/>
    <mergeCell ref="C2:H3"/>
    <mergeCell ref="B4:B5"/>
    <mergeCell ref="C4:C5"/>
    <mergeCell ref="D4:D5"/>
    <mergeCell ref="E4:E5"/>
    <mergeCell ref="F4:F5"/>
    <mergeCell ref="G4:G5"/>
    <mergeCell ref="H4:H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B2:M102"/>
  <sheetViews>
    <sheetView workbookViewId="0" topLeftCell="A34">
      <selection activeCell="G62" sqref="G62"/>
    </sheetView>
  </sheetViews>
  <sheetFormatPr defaultColWidth="9.00390625" defaultRowHeight="12.75"/>
  <cols>
    <col min="2" max="2" width="4.375" style="0" customWidth="1"/>
    <col min="3" max="3" width="24.375" style="0" customWidth="1"/>
    <col min="4" max="4" width="9.00390625" style="0" customWidth="1"/>
    <col min="5" max="5" width="8.25390625" style="0" customWidth="1"/>
    <col min="6" max="6" width="9.875" style="0" customWidth="1"/>
    <col min="7" max="7" width="8.125" style="0" customWidth="1"/>
    <col min="8" max="9" width="9.125" style="0" customWidth="1"/>
    <col min="10" max="10" width="11.25390625" style="0" customWidth="1"/>
    <col min="11" max="11" width="32.00390625" style="0" customWidth="1"/>
    <col min="13" max="13" width="12.625" style="0" bestFit="1" customWidth="1"/>
  </cols>
  <sheetData>
    <row r="2" spans="2:11" ht="63" customHeight="1">
      <c r="B2" s="7"/>
      <c r="C2" s="7"/>
      <c r="D2" s="7"/>
      <c r="E2" s="65"/>
      <c r="F2" s="65"/>
      <c r="G2" s="65"/>
      <c r="H2" s="1692" t="s">
        <v>857</v>
      </c>
      <c r="I2" s="1692"/>
      <c r="J2" s="1692"/>
      <c r="K2" s="1692"/>
    </row>
    <row r="3" spans="2:11" ht="9.75" customHeight="1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5.75" customHeight="1">
      <c r="B4" s="64"/>
      <c r="C4" s="1701" t="s">
        <v>379</v>
      </c>
      <c r="D4" s="1701"/>
      <c r="E4" s="1701"/>
      <c r="F4" s="1701"/>
      <c r="G4" s="1701"/>
      <c r="H4" s="1701"/>
      <c r="I4" s="1701"/>
      <c r="J4" s="1701"/>
      <c r="K4" s="7"/>
    </row>
    <row r="5" spans="2:11" ht="15" customHeight="1" thickBot="1">
      <c r="B5" s="64"/>
      <c r="C5" s="1702" t="s">
        <v>858</v>
      </c>
      <c r="D5" s="1702"/>
      <c r="E5" s="1702"/>
      <c r="F5" s="1702"/>
      <c r="G5" s="1702"/>
      <c r="H5" s="1702"/>
      <c r="I5" s="1702"/>
      <c r="J5" s="1702"/>
      <c r="K5" s="7"/>
    </row>
    <row r="6" spans="2:11" ht="24.75" customHeight="1" thickBot="1">
      <c r="B6" s="1693" t="s">
        <v>2</v>
      </c>
      <c r="C6" s="1695" t="s">
        <v>3</v>
      </c>
      <c r="D6" s="1697" t="s">
        <v>253</v>
      </c>
      <c r="E6" s="1699" t="s">
        <v>6</v>
      </c>
      <c r="F6" s="1700"/>
      <c r="G6" s="1699" t="s">
        <v>7</v>
      </c>
      <c r="H6" s="1700"/>
      <c r="I6" s="1173" t="s">
        <v>374</v>
      </c>
      <c r="J6" s="1174" t="s">
        <v>374</v>
      </c>
      <c r="K6" s="1708" t="s">
        <v>8</v>
      </c>
    </row>
    <row r="7" spans="2:11" ht="21.75" customHeight="1" thickBot="1">
      <c r="B7" s="1694"/>
      <c r="C7" s="1696"/>
      <c r="D7" s="1698"/>
      <c r="E7" s="837" t="s">
        <v>250</v>
      </c>
      <c r="F7" s="838" t="s">
        <v>64</v>
      </c>
      <c r="G7" s="837" t="s">
        <v>250</v>
      </c>
      <c r="H7" s="839" t="s">
        <v>249</v>
      </c>
      <c r="I7" s="837" t="s">
        <v>250</v>
      </c>
      <c r="J7" s="778" t="s">
        <v>64</v>
      </c>
      <c r="K7" s="1709"/>
    </row>
    <row r="8" spans="2:11" s="3" customFormat="1" ht="9.75" customHeight="1" thickBot="1">
      <c r="B8" s="616">
        <v>1</v>
      </c>
      <c r="C8" s="1165"/>
      <c r="D8" s="1166"/>
      <c r="E8" s="1167"/>
      <c r="F8" s="1168"/>
      <c r="G8" s="1169"/>
      <c r="H8" s="1170"/>
      <c r="I8" s="1166"/>
      <c r="J8" s="1171"/>
      <c r="K8" s="1172"/>
    </row>
    <row r="9" spans="2:11" s="3" customFormat="1" ht="18" customHeight="1">
      <c r="B9" s="616">
        <v>1</v>
      </c>
      <c r="C9" s="1097" t="s">
        <v>722</v>
      </c>
      <c r="D9" s="1161">
        <v>10</v>
      </c>
      <c r="E9" s="844">
        <f aca="true" t="shared" si="0" ref="E9:E43">D9/1000</f>
        <v>0.01</v>
      </c>
      <c r="F9" s="845">
        <f>H9+J9</f>
        <v>16.2</v>
      </c>
      <c r="G9" s="1162"/>
      <c r="H9" s="1160"/>
      <c r="I9" s="1162">
        <v>0.01</v>
      </c>
      <c r="J9" s="1163">
        <f>I9*1620</f>
        <v>16.2</v>
      </c>
      <c r="K9" s="1164"/>
    </row>
    <row r="10" spans="2:11" s="3" customFormat="1" ht="18" customHeight="1">
      <c r="B10" s="616">
        <f>B9+1</f>
        <v>2</v>
      </c>
      <c r="C10" s="842" t="s">
        <v>724</v>
      </c>
      <c r="D10" s="843">
        <v>4</v>
      </c>
      <c r="E10" s="844">
        <f t="shared" si="0"/>
        <v>0.004</v>
      </c>
      <c r="F10" s="845">
        <f aca="true" t="shared" si="1" ref="F10:F42">H10+J10</f>
        <v>8.1</v>
      </c>
      <c r="G10" s="846"/>
      <c r="H10" s="1160"/>
      <c r="I10" s="846">
        <v>0.005</v>
      </c>
      <c r="J10" s="1159">
        <f>I10*1620</f>
        <v>8.1</v>
      </c>
      <c r="K10" s="9"/>
    </row>
    <row r="11" spans="2:11" s="3" customFormat="1" ht="18" customHeight="1">
      <c r="B11" s="616">
        <f aca="true" t="shared" si="2" ref="B11:B42">B10+1</f>
        <v>3</v>
      </c>
      <c r="C11" s="842" t="s">
        <v>26</v>
      </c>
      <c r="D11" s="843">
        <v>0.2</v>
      </c>
      <c r="E11" s="847">
        <f t="shared" si="0"/>
        <v>0.0002</v>
      </c>
      <c r="F11" s="845">
        <f t="shared" si="1"/>
        <v>0.81</v>
      </c>
      <c r="G11" s="846">
        <v>0.001</v>
      </c>
      <c r="H11" s="1160">
        <f>G11*810</f>
        <v>0.81</v>
      </c>
      <c r="I11" s="954"/>
      <c r="J11" s="1159"/>
      <c r="K11" s="9" t="s">
        <v>406</v>
      </c>
    </row>
    <row r="12" spans="2:11" s="3" customFormat="1" ht="18" customHeight="1">
      <c r="B12" s="616">
        <f t="shared" si="2"/>
        <v>4</v>
      </c>
      <c r="C12" s="842" t="s">
        <v>711</v>
      </c>
      <c r="D12" s="843">
        <v>2</v>
      </c>
      <c r="E12" s="844">
        <f t="shared" si="0"/>
        <v>0.002</v>
      </c>
      <c r="F12" s="845">
        <f t="shared" si="1"/>
        <v>1.62</v>
      </c>
      <c r="G12" s="846">
        <v>0.002</v>
      </c>
      <c r="H12" s="1160">
        <f>G12*810</f>
        <v>1.62</v>
      </c>
      <c r="I12" s="954"/>
      <c r="J12" s="1159"/>
      <c r="K12" s="9" t="s">
        <v>710</v>
      </c>
    </row>
    <row r="13" spans="2:11" s="3" customFormat="1" ht="18" customHeight="1">
      <c r="B13" s="616">
        <f t="shared" si="2"/>
        <v>5</v>
      </c>
      <c r="C13" s="842" t="s">
        <v>100</v>
      </c>
      <c r="D13" s="843">
        <v>0.3</v>
      </c>
      <c r="E13" s="847">
        <f t="shared" si="0"/>
        <v>0.0003</v>
      </c>
      <c r="F13" s="845">
        <f t="shared" si="1"/>
        <v>0.24299999999999997</v>
      </c>
      <c r="G13" s="846">
        <v>0.0003</v>
      </c>
      <c r="H13" s="1160">
        <f>G13*810</f>
        <v>0.24299999999999997</v>
      </c>
      <c r="I13" s="954"/>
      <c r="J13" s="1159"/>
      <c r="K13" s="9" t="s">
        <v>408</v>
      </c>
    </row>
    <row r="14" spans="2:11" s="3" customFormat="1" ht="18" customHeight="1">
      <c r="B14" s="616">
        <f t="shared" si="2"/>
        <v>6</v>
      </c>
      <c r="C14" s="842" t="s">
        <v>27</v>
      </c>
      <c r="D14" s="848">
        <v>1.2</v>
      </c>
      <c r="E14" s="844">
        <f t="shared" si="0"/>
        <v>0.0012</v>
      </c>
      <c r="F14" s="845">
        <f t="shared" si="1"/>
        <v>0.9719999999999999</v>
      </c>
      <c r="G14" s="846">
        <v>0.0012</v>
      </c>
      <c r="H14" s="1160">
        <f>G14*810</f>
        <v>0.9719999999999999</v>
      </c>
      <c r="I14" s="954"/>
      <c r="J14" s="1159"/>
      <c r="K14" s="9" t="s">
        <v>406</v>
      </c>
    </row>
    <row r="15" spans="2:11" s="3" customFormat="1" ht="18" customHeight="1">
      <c r="B15" s="616">
        <f t="shared" si="2"/>
        <v>7</v>
      </c>
      <c r="C15" s="842" t="s">
        <v>584</v>
      </c>
      <c r="D15" s="848">
        <v>3</v>
      </c>
      <c r="E15" s="844">
        <f t="shared" si="0"/>
        <v>0.003</v>
      </c>
      <c r="F15" s="845">
        <f t="shared" si="1"/>
        <v>2.43</v>
      </c>
      <c r="G15" s="846">
        <v>0.003</v>
      </c>
      <c r="H15" s="1160">
        <f>G15*810</f>
        <v>2.43</v>
      </c>
      <c r="I15" s="954"/>
      <c r="J15" s="1159"/>
      <c r="K15" s="9"/>
    </row>
    <row r="16" spans="2:11" s="3" customFormat="1" ht="18" customHeight="1">
      <c r="B16" s="616">
        <f t="shared" si="2"/>
        <v>8</v>
      </c>
      <c r="C16" s="842" t="s">
        <v>583</v>
      </c>
      <c r="D16" s="848">
        <v>10</v>
      </c>
      <c r="E16" s="844">
        <f t="shared" si="0"/>
        <v>0.01</v>
      </c>
      <c r="F16" s="845">
        <f t="shared" si="1"/>
        <v>16.2</v>
      </c>
      <c r="G16" s="846"/>
      <c r="H16" s="1160"/>
      <c r="I16" s="954">
        <v>0.01</v>
      </c>
      <c r="J16" s="1159">
        <f aca="true" t="shared" si="3" ref="J16:J42">I16*1620</f>
        <v>16.2</v>
      </c>
      <c r="K16" s="9"/>
    </row>
    <row r="17" spans="2:11" s="3" customFormat="1" ht="18" customHeight="1">
      <c r="B17" s="616">
        <f t="shared" si="2"/>
        <v>9</v>
      </c>
      <c r="C17" s="849" t="s">
        <v>580</v>
      </c>
      <c r="D17" s="848">
        <v>10</v>
      </c>
      <c r="E17" s="844">
        <f t="shared" si="0"/>
        <v>0.01</v>
      </c>
      <c r="F17" s="845">
        <f t="shared" si="1"/>
        <v>16.2</v>
      </c>
      <c r="G17" s="846"/>
      <c r="H17" s="1160"/>
      <c r="I17" s="954">
        <v>0.01</v>
      </c>
      <c r="J17" s="1159">
        <f t="shared" si="3"/>
        <v>16.2</v>
      </c>
      <c r="K17" s="9"/>
    </row>
    <row r="18" spans="2:11" s="3" customFormat="1" ht="18" customHeight="1">
      <c r="B18" s="616">
        <f t="shared" si="2"/>
        <v>10</v>
      </c>
      <c r="C18" s="849" t="s">
        <v>633</v>
      </c>
      <c r="D18" s="848">
        <v>2</v>
      </c>
      <c r="E18" s="844">
        <f t="shared" si="0"/>
        <v>0.002</v>
      </c>
      <c r="F18" s="845">
        <f t="shared" si="1"/>
        <v>1.62</v>
      </c>
      <c r="G18" s="846">
        <v>0.002</v>
      </c>
      <c r="H18" s="1160">
        <f>G18*810</f>
        <v>1.62</v>
      </c>
      <c r="I18" s="954"/>
      <c r="J18" s="1159"/>
      <c r="K18" s="9"/>
    </row>
    <row r="19" spans="2:11" s="3" customFormat="1" ht="18" customHeight="1">
      <c r="B19" s="616">
        <f t="shared" si="2"/>
        <v>11</v>
      </c>
      <c r="C19" s="849" t="s">
        <v>46</v>
      </c>
      <c r="D19" s="848">
        <v>29</v>
      </c>
      <c r="E19" s="844">
        <f t="shared" si="0"/>
        <v>0.029</v>
      </c>
      <c r="F19" s="845">
        <f t="shared" si="1"/>
        <v>48.6</v>
      </c>
      <c r="G19" s="846"/>
      <c r="H19" s="1160"/>
      <c r="I19" s="954">
        <v>0.03</v>
      </c>
      <c r="J19" s="1159">
        <f t="shared" si="3"/>
        <v>48.6</v>
      </c>
      <c r="K19" s="9"/>
    </row>
    <row r="20" spans="2:11" s="3" customFormat="1" ht="18" customHeight="1">
      <c r="B20" s="616">
        <f t="shared" si="2"/>
        <v>12</v>
      </c>
      <c r="C20" s="849" t="s">
        <v>592</v>
      </c>
      <c r="D20" s="848">
        <v>15</v>
      </c>
      <c r="E20" s="844">
        <f t="shared" si="0"/>
        <v>0.015</v>
      </c>
      <c r="F20" s="845">
        <f t="shared" si="1"/>
        <v>24.3</v>
      </c>
      <c r="G20" s="846"/>
      <c r="H20" s="1160"/>
      <c r="I20" s="954">
        <v>0.015</v>
      </c>
      <c r="J20" s="1159">
        <f t="shared" si="3"/>
        <v>24.3</v>
      </c>
      <c r="K20" s="9" t="s">
        <v>599</v>
      </c>
    </row>
    <row r="21" spans="2:11" s="3" customFormat="1" ht="18" customHeight="1">
      <c r="B21" s="616">
        <f t="shared" si="2"/>
        <v>13</v>
      </c>
      <c r="C21" s="849" t="s">
        <v>576</v>
      </c>
      <c r="D21" s="848">
        <v>57</v>
      </c>
      <c r="E21" s="844">
        <f t="shared" si="0"/>
        <v>0.057</v>
      </c>
      <c r="F21" s="845">
        <f t="shared" si="1"/>
        <v>97.2</v>
      </c>
      <c r="G21" s="846"/>
      <c r="H21" s="1160"/>
      <c r="I21" s="954">
        <v>0.06</v>
      </c>
      <c r="J21" s="1159">
        <f t="shared" si="3"/>
        <v>97.2</v>
      </c>
      <c r="K21" s="897" t="s">
        <v>746</v>
      </c>
    </row>
    <row r="22" spans="2:11" s="3" customFormat="1" ht="18" customHeight="1">
      <c r="B22" s="616">
        <f t="shared" si="2"/>
        <v>14</v>
      </c>
      <c r="C22" s="849" t="s">
        <v>573</v>
      </c>
      <c r="D22" s="848">
        <v>5</v>
      </c>
      <c r="E22" s="844">
        <f t="shared" si="0"/>
        <v>0.005</v>
      </c>
      <c r="F22" s="845">
        <f t="shared" si="1"/>
        <v>8.1</v>
      </c>
      <c r="G22" s="846"/>
      <c r="H22" s="1160"/>
      <c r="I22" s="954">
        <v>0.005</v>
      </c>
      <c r="J22" s="1159">
        <f t="shared" si="3"/>
        <v>8.1</v>
      </c>
      <c r="K22" s="9" t="s">
        <v>548</v>
      </c>
    </row>
    <row r="23" spans="2:11" s="3" customFormat="1" ht="18" customHeight="1">
      <c r="B23" s="616">
        <f t="shared" si="2"/>
        <v>15</v>
      </c>
      <c r="C23" s="849" t="s">
        <v>446</v>
      </c>
      <c r="D23" s="848">
        <v>2</v>
      </c>
      <c r="E23" s="844">
        <f t="shared" si="0"/>
        <v>0.002</v>
      </c>
      <c r="F23" s="845">
        <f t="shared" si="1"/>
        <v>1.62</v>
      </c>
      <c r="G23" s="846">
        <v>0.002</v>
      </c>
      <c r="H23" s="1160">
        <f>G23*810</f>
        <v>1.62</v>
      </c>
      <c r="I23" s="955"/>
      <c r="J23" s="1159"/>
      <c r="K23" s="9" t="s">
        <v>448</v>
      </c>
    </row>
    <row r="24" spans="2:11" s="3" customFormat="1" ht="18" customHeight="1">
      <c r="B24" s="616">
        <f t="shared" si="2"/>
        <v>16</v>
      </c>
      <c r="C24" s="849" t="s">
        <v>549</v>
      </c>
      <c r="D24" s="848">
        <v>30</v>
      </c>
      <c r="E24" s="844">
        <f t="shared" si="0"/>
        <v>0.03</v>
      </c>
      <c r="F24" s="845">
        <f t="shared" si="1"/>
        <v>48.6</v>
      </c>
      <c r="G24" s="846"/>
      <c r="H24" s="1160"/>
      <c r="I24" s="844">
        <v>0.03</v>
      </c>
      <c r="J24" s="1159">
        <f t="shared" si="3"/>
        <v>48.6</v>
      </c>
      <c r="K24" s="9"/>
    </row>
    <row r="25" spans="2:11" s="3" customFormat="1" ht="18" customHeight="1">
      <c r="B25" s="616">
        <f t="shared" si="2"/>
        <v>17</v>
      </c>
      <c r="C25" s="849" t="s">
        <v>560</v>
      </c>
      <c r="D25" s="848">
        <v>5</v>
      </c>
      <c r="E25" s="844">
        <f t="shared" si="0"/>
        <v>0.005</v>
      </c>
      <c r="F25" s="845">
        <f t="shared" si="1"/>
        <v>8.1</v>
      </c>
      <c r="G25" s="846"/>
      <c r="H25" s="1160"/>
      <c r="I25" s="844">
        <v>0.005</v>
      </c>
      <c r="J25" s="1159">
        <f t="shared" si="3"/>
        <v>8.1</v>
      </c>
      <c r="K25" s="9"/>
    </row>
    <row r="26" spans="2:11" s="3" customFormat="1" ht="18" customHeight="1">
      <c r="B26" s="616">
        <f t="shared" si="2"/>
        <v>18</v>
      </c>
      <c r="C26" s="842" t="s">
        <v>556</v>
      </c>
      <c r="D26" s="1176">
        <v>25</v>
      </c>
      <c r="E26" s="1177">
        <f t="shared" si="0"/>
        <v>0.025</v>
      </c>
      <c r="F26" s="1178">
        <f t="shared" si="1"/>
        <v>40.5</v>
      </c>
      <c r="G26" s="846"/>
      <c r="H26" s="1160"/>
      <c r="I26" s="1177">
        <v>0.025</v>
      </c>
      <c r="J26" s="1159">
        <f t="shared" si="3"/>
        <v>40.5</v>
      </c>
      <c r="K26" s="840"/>
    </row>
    <row r="27" spans="2:11" s="3" customFormat="1" ht="18" customHeight="1">
      <c r="B27" s="616">
        <f t="shared" si="2"/>
        <v>19</v>
      </c>
      <c r="C27" s="842" t="s">
        <v>518</v>
      </c>
      <c r="D27" s="1176">
        <v>5</v>
      </c>
      <c r="E27" s="1177">
        <f t="shared" si="0"/>
        <v>0.005</v>
      </c>
      <c r="F27" s="1178"/>
      <c r="G27" s="846"/>
      <c r="H27" s="1160"/>
      <c r="I27" s="1179">
        <f>E27</f>
        <v>0.005</v>
      </c>
      <c r="J27" s="1159">
        <f t="shared" si="3"/>
        <v>8.1</v>
      </c>
      <c r="K27" s="840" t="s">
        <v>886</v>
      </c>
    </row>
    <row r="28" spans="2:11" s="3" customFormat="1" ht="18" customHeight="1">
      <c r="B28" s="616">
        <f t="shared" si="2"/>
        <v>20</v>
      </c>
      <c r="C28" s="842" t="s">
        <v>660</v>
      </c>
      <c r="D28" s="1176">
        <v>1</v>
      </c>
      <c r="E28" s="1177">
        <f t="shared" si="0"/>
        <v>0.001</v>
      </c>
      <c r="F28" s="1178">
        <f t="shared" si="1"/>
        <v>0.81</v>
      </c>
      <c r="G28" s="846">
        <v>0.001</v>
      </c>
      <c r="H28" s="1160">
        <f>G28*810</f>
        <v>0.81</v>
      </c>
      <c r="I28" s="1179"/>
      <c r="J28" s="1159"/>
      <c r="K28" s="9" t="s">
        <v>662</v>
      </c>
    </row>
    <row r="29" spans="2:11" s="3" customFormat="1" ht="18" customHeight="1">
      <c r="B29" s="616">
        <f t="shared" si="2"/>
        <v>21</v>
      </c>
      <c r="C29" s="849" t="s">
        <v>567</v>
      </c>
      <c r="D29" s="848">
        <v>3</v>
      </c>
      <c r="E29" s="844">
        <f t="shared" si="0"/>
        <v>0.003</v>
      </c>
      <c r="F29" s="845">
        <f t="shared" si="1"/>
        <v>4.86</v>
      </c>
      <c r="G29" s="846"/>
      <c r="H29" s="1160"/>
      <c r="I29" s="844">
        <v>0.003</v>
      </c>
      <c r="J29" s="1159">
        <f t="shared" si="3"/>
        <v>4.86</v>
      </c>
      <c r="K29" s="9"/>
    </row>
    <row r="30" spans="2:11" s="3" customFormat="1" ht="15" customHeight="1">
      <c r="B30" s="616">
        <f t="shared" si="2"/>
        <v>22</v>
      </c>
      <c r="C30" s="849" t="s">
        <v>677</v>
      </c>
      <c r="D30" s="848">
        <v>20</v>
      </c>
      <c r="E30" s="844">
        <f t="shared" si="0"/>
        <v>0.02</v>
      </c>
      <c r="F30" s="845">
        <f t="shared" si="1"/>
        <v>32.4</v>
      </c>
      <c r="G30" s="846"/>
      <c r="H30" s="1160"/>
      <c r="I30" s="844">
        <v>0.02</v>
      </c>
      <c r="J30" s="1159">
        <f t="shared" si="3"/>
        <v>32.4</v>
      </c>
      <c r="K30" s="9"/>
    </row>
    <row r="31" spans="2:11" s="3" customFormat="1" ht="18" customHeight="1">
      <c r="B31" s="616">
        <f t="shared" si="2"/>
        <v>23</v>
      </c>
      <c r="C31" s="849" t="s">
        <v>665</v>
      </c>
      <c r="D31" s="848">
        <v>2</v>
      </c>
      <c r="E31" s="844">
        <f t="shared" si="0"/>
        <v>0.002</v>
      </c>
      <c r="F31" s="845">
        <f t="shared" si="1"/>
        <v>1.62</v>
      </c>
      <c r="G31" s="844">
        <v>0.002</v>
      </c>
      <c r="H31" s="1160">
        <f>G31*810</f>
        <v>1.62</v>
      </c>
      <c r="I31" s="954"/>
      <c r="J31" s="1159"/>
      <c r="K31" s="840" t="s">
        <v>667</v>
      </c>
    </row>
    <row r="32" spans="2:11" s="3" customFormat="1" ht="18" customHeight="1">
      <c r="B32" s="616">
        <f t="shared" si="2"/>
        <v>24</v>
      </c>
      <c r="C32" s="849" t="s">
        <v>521</v>
      </c>
      <c r="D32" s="848">
        <v>143</v>
      </c>
      <c r="E32" s="844">
        <f t="shared" si="0"/>
        <v>0.143</v>
      </c>
      <c r="F32" s="845">
        <f t="shared" si="1"/>
        <v>231.65999999999997</v>
      </c>
      <c r="G32" s="846"/>
      <c r="H32" s="1160"/>
      <c r="I32" s="954">
        <v>0.143</v>
      </c>
      <c r="J32" s="1159">
        <f t="shared" si="3"/>
        <v>231.65999999999997</v>
      </c>
      <c r="K32" s="9" t="s">
        <v>522</v>
      </c>
    </row>
    <row r="33" spans="2:11" s="3" customFormat="1" ht="18" customHeight="1">
      <c r="B33" s="616">
        <f t="shared" si="2"/>
        <v>25</v>
      </c>
      <c r="C33" s="849" t="s">
        <v>486</v>
      </c>
      <c r="D33" s="848">
        <v>10</v>
      </c>
      <c r="E33" s="844">
        <f t="shared" si="0"/>
        <v>0.01</v>
      </c>
      <c r="F33" s="845">
        <f t="shared" si="1"/>
        <v>16.2</v>
      </c>
      <c r="G33" s="846"/>
      <c r="H33" s="1160"/>
      <c r="I33" s="954">
        <v>0.01</v>
      </c>
      <c r="J33" s="1159">
        <f t="shared" si="3"/>
        <v>16.2</v>
      </c>
      <c r="K33" s="9"/>
    </row>
    <row r="34" spans="2:13" s="3" customFormat="1" ht="18" customHeight="1">
      <c r="B34" s="616">
        <f t="shared" si="2"/>
        <v>26</v>
      </c>
      <c r="C34" s="849" t="s">
        <v>488</v>
      </c>
      <c r="D34" s="848">
        <v>2</v>
      </c>
      <c r="E34" s="844">
        <f t="shared" si="0"/>
        <v>0.002</v>
      </c>
      <c r="F34" s="845">
        <f t="shared" si="1"/>
        <v>1.62</v>
      </c>
      <c r="G34" s="846">
        <v>0.002</v>
      </c>
      <c r="H34" s="1160">
        <f>G34*810</f>
        <v>1.62</v>
      </c>
      <c r="I34" s="954"/>
      <c r="J34" s="1159"/>
      <c r="K34" s="9"/>
      <c r="M34" s="1319"/>
    </row>
    <row r="35" spans="2:11" s="3" customFormat="1" ht="18" customHeight="1">
      <c r="B35" s="616">
        <f t="shared" si="2"/>
        <v>27</v>
      </c>
      <c r="C35" s="849" t="s">
        <v>659</v>
      </c>
      <c r="D35" s="848">
        <v>1</v>
      </c>
      <c r="E35" s="844">
        <f t="shared" si="0"/>
        <v>0.001</v>
      </c>
      <c r="F35" s="845">
        <f t="shared" si="1"/>
        <v>0.81</v>
      </c>
      <c r="G35" s="846">
        <v>0.001</v>
      </c>
      <c r="H35" s="1160">
        <f>G35*810</f>
        <v>0.81</v>
      </c>
      <c r="I35" s="954"/>
      <c r="J35" s="1159"/>
      <c r="K35" s="9"/>
    </row>
    <row r="36" spans="2:13" s="3" customFormat="1" ht="18" customHeight="1">
      <c r="B36" s="616">
        <f t="shared" si="2"/>
        <v>28</v>
      </c>
      <c r="C36" s="849" t="s">
        <v>102</v>
      </c>
      <c r="D36" s="848">
        <v>6</v>
      </c>
      <c r="E36" s="844">
        <f t="shared" si="0"/>
        <v>0.006</v>
      </c>
      <c r="F36" s="845">
        <f>H36+J36</f>
        <v>4.86</v>
      </c>
      <c r="G36" s="846">
        <v>0.006</v>
      </c>
      <c r="H36" s="1160">
        <f>G36*810</f>
        <v>4.86</v>
      </c>
      <c r="I36" s="954"/>
      <c r="J36" s="1159"/>
      <c r="K36" s="9" t="s">
        <v>398</v>
      </c>
      <c r="M36" s="1319"/>
    </row>
    <row r="37" spans="2:13" s="3" customFormat="1" ht="18" customHeight="1">
      <c r="B37" s="616">
        <f t="shared" si="2"/>
        <v>29</v>
      </c>
      <c r="C37" s="849" t="s">
        <v>22</v>
      </c>
      <c r="D37" s="848">
        <v>10</v>
      </c>
      <c r="E37" s="844">
        <f t="shared" si="0"/>
        <v>0.01</v>
      </c>
      <c r="F37" s="845">
        <f t="shared" si="1"/>
        <v>16.2</v>
      </c>
      <c r="G37" s="846"/>
      <c r="H37" s="1160"/>
      <c r="I37" s="954">
        <v>0.01</v>
      </c>
      <c r="J37" s="1159">
        <f t="shared" si="3"/>
        <v>16.2</v>
      </c>
      <c r="K37" s="9"/>
      <c r="M37" s="1319"/>
    </row>
    <row r="38" spans="2:11" s="3" customFormat="1" ht="18" customHeight="1">
      <c r="B38" s="616">
        <f t="shared" si="2"/>
        <v>30</v>
      </c>
      <c r="C38" s="849" t="s">
        <v>526</v>
      </c>
      <c r="D38" s="848">
        <v>145</v>
      </c>
      <c r="E38" s="844">
        <f t="shared" si="0"/>
        <v>0.145</v>
      </c>
      <c r="F38" s="845">
        <f t="shared" si="1"/>
        <v>234.89999999999998</v>
      </c>
      <c r="G38" s="846"/>
      <c r="H38" s="1160"/>
      <c r="I38" s="954">
        <v>0.145</v>
      </c>
      <c r="J38" s="1159">
        <f t="shared" si="3"/>
        <v>234.89999999999998</v>
      </c>
      <c r="K38" s="9"/>
    </row>
    <row r="39" spans="2:11" s="3" customFormat="1" ht="18" customHeight="1">
      <c r="B39" s="616">
        <f t="shared" si="2"/>
        <v>31</v>
      </c>
      <c r="C39" s="849" t="s">
        <v>532</v>
      </c>
      <c r="D39" s="848">
        <v>145</v>
      </c>
      <c r="E39" s="844">
        <f t="shared" si="0"/>
        <v>0.145</v>
      </c>
      <c r="F39" s="845">
        <f t="shared" si="1"/>
        <v>234.89999999999998</v>
      </c>
      <c r="G39" s="846"/>
      <c r="H39" s="1160"/>
      <c r="I39" s="954">
        <v>0.145</v>
      </c>
      <c r="J39" s="1159">
        <f t="shared" si="3"/>
        <v>234.89999999999998</v>
      </c>
      <c r="K39" s="9"/>
    </row>
    <row r="40" spans="2:11" s="3" customFormat="1" ht="18" customHeight="1">
      <c r="B40" s="616">
        <f t="shared" si="2"/>
        <v>32</v>
      </c>
      <c r="C40" s="849" t="s">
        <v>535</v>
      </c>
      <c r="D40" s="848">
        <v>118</v>
      </c>
      <c r="E40" s="844">
        <f t="shared" si="0"/>
        <v>0.118</v>
      </c>
      <c r="F40" s="845">
        <f t="shared" si="1"/>
        <v>194.4</v>
      </c>
      <c r="G40" s="846"/>
      <c r="H40" s="1160"/>
      <c r="I40" s="954">
        <v>0.12</v>
      </c>
      <c r="J40" s="1159">
        <f t="shared" si="3"/>
        <v>194.4</v>
      </c>
      <c r="K40" s="9"/>
    </row>
    <row r="41" spans="2:11" s="3" customFormat="1" ht="18" customHeight="1">
      <c r="B41" s="616">
        <f t="shared" si="2"/>
        <v>33</v>
      </c>
      <c r="C41" s="849" t="s">
        <v>541</v>
      </c>
      <c r="D41" s="848">
        <v>132</v>
      </c>
      <c r="E41" s="844">
        <f t="shared" si="0"/>
        <v>0.132</v>
      </c>
      <c r="F41" s="845">
        <f t="shared" si="1"/>
        <v>218.70000000000002</v>
      </c>
      <c r="G41" s="846"/>
      <c r="H41" s="1160"/>
      <c r="I41" s="955">
        <v>0.135</v>
      </c>
      <c r="J41" s="1159">
        <f t="shared" si="3"/>
        <v>218.70000000000002</v>
      </c>
      <c r="K41" s="9" t="s">
        <v>551</v>
      </c>
    </row>
    <row r="42" spans="2:11" s="3" customFormat="1" ht="18" customHeight="1" thickBot="1">
      <c r="B42" s="616">
        <f t="shared" si="2"/>
        <v>34</v>
      </c>
      <c r="C42" s="1175" t="s">
        <v>538</v>
      </c>
      <c r="D42" s="848">
        <v>20</v>
      </c>
      <c r="E42" s="844">
        <f t="shared" si="0"/>
        <v>0.02</v>
      </c>
      <c r="F42" s="845">
        <f t="shared" si="1"/>
        <v>32.4</v>
      </c>
      <c r="G42" s="846"/>
      <c r="H42" s="1160"/>
      <c r="I42" s="954">
        <v>0.02</v>
      </c>
      <c r="J42" s="1159">
        <f t="shared" si="3"/>
        <v>32.4</v>
      </c>
      <c r="K42" s="9"/>
    </row>
    <row r="43" spans="2:13" ht="16.5" thickBot="1">
      <c r="B43" s="861"/>
      <c r="C43" s="862" t="s">
        <v>72</v>
      </c>
      <c r="D43" s="850">
        <f>SUM(D8:D42)</f>
        <v>973.7</v>
      </c>
      <c r="E43" s="851">
        <f t="shared" si="0"/>
        <v>0.9737</v>
      </c>
      <c r="F43" s="852">
        <f>H43+J43</f>
        <v>1575.8550000000002</v>
      </c>
      <c r="G43" s="853">
        <f>SUM(G9:G42)</f>
        <v>0.0235</v>
      </c>
      <c r="H43" s="853">
        <f>SUM(H9:H42)</f>
        <v>19.035000000000004</v>
      </c>
      <c r="I43" s="854">
        <f>SUM(I9:I42)</f>
        <v>0.9610000000000001</v>
      </c>
      <c r="J43" s="863">
        <f>I43*1620</f>
        <v>1556.8200000000002</v>
      </c>
      <c r="K43" s="841"/>
      <c r="L43" s="3"/>
      <c r="M43" s="3"/>
    </row>
    <row r="44" spans="2:13" ht="15.75">
      <c r="B44" s="64"/>
      <c r="C44" s="855"/>
      <c r="D44" s="856"/>
      <c r="E44" s="857"/>
      <c r="F44" s="858"/>
      <c r="G44" s="859"/>
      <c r="H44" s="859"/>
      <c r="I44" s="859"/>
      <c r="J44" s="857"/>
      <c r="K44" s="860"/>
      <c r="L44" s="3"/>
      <c r="M44" s="3"/>
    </row>
    <row r="45" spans="2:11" ht="15.75">
      <c r="B45" s="7"/>
      <c r="C45" s="7" t="s">
        <v>236</v>
      </c>
      <c r="D45" s="7"/>
      <c r="E45" s="711"/>
      <c r="F45" s="711"/>
      <c r="G45" s="7"/>
      <c r="H45" s="56" t="s">
        <v>32</v>
      </c>
      <c r="I45" s="7"/>
      <c r="J45" s="7"/>
      <c r="K45" s="7"/>
    </row>
    <row r="72" spans="10:11" ht="15.75" customHeight="1">
      <c r="J72" s="1706" t="s">
        <v>255</v>
      </c>
      <c r="K72" s="1706"/>
    </row>
    <row r="73" spans="10:11" ht="12.75">
      <c r="J73" s="1707" t="s">
        <v>1</v>
      </c>
      <c r="K73" s="1707"/>
    </row>
    <row r="74" spans="10:11" ht="12.75">
      <c r="J74" s="1707" t="s">
        <v>35</v>
      </c>
      <c r="K74" s="1707"/>
    </row>
    <row r="75" spans="10:11" ht="12.75">
      <c r="J75" s="1707" t="s">
        <v>280</v>
      </c>
      <c r="K75" s="1707"/>
    </row>
    <row r="77" spans="2:11" ht="15.75">
      <c r="B77" s="7"/>
      <c r="C77" s="7"/>
      <c r="D77" s="7"/>
      <c r="E77" s="65"/>
      <c r="F77" s="65"/>
      <c r="G77" s="65"/>
      <c r="H77" s="1706"/>
      <c r="I77" s="1706"/>
      <c r="J77" s="1706"/>
      <c r="K77" s="1706"/>
    </row>
    <row r="78" spans="2:11" ht="15.75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ht="15.75">
      <c r="B79" s="64"/>
      <c r="C79" s="1701" t="s">
        <v>254</v>
      </c>
      <c r="D79" s="1710"/>
      <c r="E79" s="1710"/>
      <c r="F79" s="1710"/>
      <c r="G79" s="1710"/>
      <c r="H79" s="1710"/>
      <c r="I79" s="1710"/>
      <c r="J79" s="1710"/>
      <c r="K79" s="7"/>
    </row>
    <row r="80" spans="2:11" ht="16.5" thickBot="1">
      <c r="B80" s="64"/>
      <c r="C80" s="1710"/>
      <c r="D80" s="1710"/>
      <c r="E80" s="1710"/>
      <c r="F80" s="1710"/>
      <c r="G80" s="1710"/>
      <c r="H80" s="1710"/>
      <c r="I80" s="1710"/>
      <c r="J80" s="1710"/>
      <c r="K80" s="7"/>
    </row>
    <row r="81" spans="2:11" ht="15.75">
      <c r="B81" s="1682" t="s">
        <v>2</v>
      </c>
      <c r="C81" s="1686" t="s">
        <v>3</v>
      </c>
      <c r="D81" s="1713" t="s">
        <v>253</v>
      </c>
      <c r="E81" s="1716" t="s">
        <v>6</v>
      </c>
      <c r="F81" s="1703"/>
      <c r="G81" s="1716" t="s">
        <v>7</v>
      </c>
      <c r="H81" s="1703"/>
      <c r="I81" s="712"/>
      <c r="J81" s="1716" t="s">
        <v>252</v>
      </c>
      <c r="K81" s="1703" t="s">
        <v>8</v>
      </c>
    </row>
    <row r="82" spans="2:11" ht="15.75">
      <c r="B82" s="1711"/>
      <c r="C82" s="1712"/>
      <c r="D82" s="1714"/>
      <c r="E82" s="1717"/>
      <c r="F82" s="1718"/>
      <c r="G82" s="1717"/>
      <c r="H82" s="1718"/>
      <c r="I82" s="713"/>
      <c r="J82" s="1717"/>
      <c r="K82" s="1704"/>
    </row>
    <row r="83" spans="2:11" ht="32.25" thickBot="1">
      <c r="B83" s="1683"/>
      <c r="C83" s="1687"/>
      <c r="D83" s="1715"/>
      <c r="E83" s="115" t="s">
        <v>250</v>
      </c>
      <c r="F83" s="116" t="s">
        <v>64</v>
      </c>
      <c r="G83" s="115" t="s">
        <v>248</v>
      </c>
      <c r="H83" s="114" t="s">
        <v>249</v>
      </c>
      <c r="I83" s="116"/>
      <c r="J83" s="116" t="s">
        <v>64</v>
      </c>
      <c r="K83" s="1705"/>
    </row>
    <row r="84" spans="2:11" ht="15.75">
      <c r="B84" s="117">
        <v>1</v>
      </c>
      <c r="C84" s="118" t="s">
        <v>247</v>
      </c>
      <c r="D84" s="119">
        <v>25</v>
      </c>
      <c r="E84" s="120"/>
      <c r="F84" s="121"/>
      <c r="G84" s="122"/>
      <c r="H84" s="123"/>
      <c r="I84" s="617"/>
      <c r="J84" s="124"/>
      <c r="K84" s="126" t="s">
        <v>273</v>
      </c>
    </row>
    <row r="85" spans="2:11" ht="15.75">
      <c r="B85" s="117">
        <v>2</v>
      </c>
      <c r="C85" s="118" t="s">
        <v>246</v>
      </c>
      <c r="D85" s="119">
        <v>25</v>
      </c>
      <c r="E85" s="120"/>
      <c r="F85" s="121"/>
      <c r="G85" s="122"/>
      <c r="H85" s="123"/>
      <c r="I85" s="617"/>
      <c r="J85" s="124"/>
      <c r="K85" s="126" t="s">
        <v>273</v>
      </c>
    </row>
    <row r="86" spans="2:11" ht="15.75">
      <c r="B86" s="117">
        <v>7</v>
      </c>
      <c r="C86" s="110" t="s">
        <v>70</v>
      </c>
      <c r="D86" s="137">
        <v>80</v>
      </c>
      <c r="E86" s="120"/>
      <c r="F86" s="121"/>
      <c r="G86" s="122"/>
      <c r="H86" s="123"/>
      <c r="I86" s="617"/>
      <c r="J86" s="124"/>
      <c r="K86" s="126" t="s">
        <v>245</v>
      </c>
    </row>
    <row r="87" spans="2:11" ht="15.75">
      <c r="B87" s="117">
        <v>3</v>
      </c>
      <c r="C87" s="63" t="s">
        <v>68</v>
      </c>
      <c r="D87" s="119">
        <v>2.5</v>
      </c>
      <c r="E87" s="120"/>
      <c r="F87" s="121"/>
      <c r="G87" s="122"/>
      <c r="H87" s="123"/>
      <c r="I87" s="617"/>
      <c r="J87" s="124"/>
      <c r="K87" s="126" t="s">
        <v>274</v>
      </c>
    </row>
    <row r="88" spans="2:11" ht="15.75">
      <c r="B88" s="117">
        <v>4</v>
      </c>
      <c r="C88" s="63" t="s">
        <v>244</v>
      </c>
      <c r="D88" s="119">
        <v>24</v>
      </c>
      <c r="E88" s="120"/>
      <c r="F88" s="121"/>
      <c r="G88" s="122"/>
      <c r="H88" s="123"/>
      <c r="I88" s="617"/>
      <c r="J88" s="124"/>
      <c r="K88" s="126" t="s">
        <v>276</v>
      </c>
    </row>
    <row r="89" spans="2:11" ht="15.75">
      <c r="B89" s="117">
        <v>5</v>
      </c>
      <c r="C89" s="63" t="s">
        <v>28</v>
      </c>
      <c r="D89" s="119">
        <v>15</v>
      </c>
      <c r="E89" s="120"/>
      <c r="F89" s="121"/>
      <c r="G89" s="122"/>
      <c r="H89" s="123"/>
      <c r="I89" s="617"/>
      <c r="J89" s="124"/>
      <c r="K89" s="126" t="s">
        <v>275</v>
      </c>
    </row>
    <row r="90" spans="2:11" ht="15.75">
      <c r="B90" s="117">
        <v>13</v>
      </c>
      <c r="C90" s="109" t="s">
        <v>267</v>
      </c>
      <c r="D90" s="137">
        <v>115</v>
      </c>
      <c r="E90" s="120"/>
      <c r="F90" s="121"/>
      <c r="G90" s="122"/>
      <c r="H90" s="123"/>
      <c r="I90" s="617"/>
      <c r="J90" s="124"/>
      <c r="K90" s="126" t="s">
        <v>277</v>
      </c>
    </row>
    <row r="91" spans="2:11" ht="15.75">
      <c r="B91" s="117">
        <v>14</v>
      </c>
      <c r="C91" s="109" t="s">
        <v>272</v>
      </c>
      <c r="D91" s="136">
        <v>30</v>
      </c>
      <c r="E91" s="120"/>
      <c r="F91" s="125"/>
      <c r="G91" s="122"/>
      <c r="H91" s="123"/>
      <c r="I91" s="617"/>
      <c r="J91" s="124"/>
      <c r="K91" s="126" t="s">
        <v>278</v>
      </c>
    </row>
    <row r="92" spans="2:11" ht="16.5" thickBot="1">
      <c r="B92" s="117">
        <v>16</v>
      </c>
      <c r="C92" s="110" t="s">
        <v>279</v>
      </c>
      <c r="D92" s="136">
        <v>10</v>
      </c>
      <c r="E92" s="120"/>
      <c r="F92" s="125"/>
      <c r="G92" s="122"/>
      <c r="H92" s="123"/>
      <c r="I92" s="617"/>
      <c r="J92" s="124"/>
      <c r="K92" s="126" t="s">
        <v>273</v>
      </c>
    </row>
    <row r="93" spans="2:11" ht="16.5" thickBot="1">
      <c r="B93" s="127"/>
      <c r="C93" s="128" t="s">
        <v>72</v>
      </c>
      <c r="D93" s="129">
        <f>SUM(D84:D92)</f>
        <v>326.5</v>
      </c>
      <c r="E93" s="130">
        <f>D93/1000</f>
        <v>0.3265</v>
      </c>
      <c r="F93" s="131">
        <f>E93*1300</f>
        <v>424.45</v>
      </c>
      <c r="G93" s="132">
        <f>SUM(G84:G92)</f>
        <v>0</v>
      </c>
      <c r="H93" s="132">
        <f>SUM(H84:H92)</f>
        <v>0</v>
      </c>
      <c r="I93" s="714"/>
      <c r="J93" s="135">
        <f>D93*2300</f>
        <v>750950</v>
      </c>
      <c r="K93" s="133"/>
    </row>
    <row r="95" ht="12.75">
      <c r="C95" t="s">
        <v>281</v>
      </c>
    </row>
    <row r="98" spans="3:10" ht="18">
      <c r="C98" s="113" t="s">
        <v>103</v>
      </c>
      <c r="D98" s="113">
        <f>D93+D43</f>
        <v>1300.2</v>
      </c>
      <c r="J98" s="134">
        <f>J93+J43</f>
        <v>752506.82</v>
      </c>
    </row>
    <row r="100" ht="12.75">
      <c r="C100" s="141" t="s">
        <v>271</v>
      </c>
    </row>
    <row r="101" ht="12.75">
      <c r="C101" t="s">
        <v>282</v>
      </c>
    </row>
    <row r="102" ht="12.75">
      <c r="C102" t="s">
        <v>283</v>
      </c>
    </row>
  </sheetData>
  <sheetProtection/>
  <autoFilter ref="C8:K8"/>
  <mergeCells count="22">
    <mergeCell ref="B81:B83"/>
    <mergeCell ref="C81:C83"/>
    <mergeCell ref="D81:D83"/>
    <mergeCell ref="E81:F82"/>
    <mergeCell ref="G81:H82"/>
    <mergeCell ref="J81:J82"/>
    <mergeCell ref="K81:K83"/>
    <mergeCell ref="J72:K72"/>
    <mergeCell ref="J73:K73"/>
    <mergeCell ref="K6:K7"/>
    <mergeCell ref="J74:K74"/>
    <mergeCell ref="J75:K75"/>
    <mergeCell ref="H77:K77"/>
    <mergeCell ref="C79:J80"/>
    <mergeCell ref="H2:K2"/>
    <mergeCell ref="B6:B7"/>
    <mergeCell ref="C6:C7"/>
    <mergeCell ref="D6:D7"/>
    <mergeCell ref="E6:F6"/>
    <mergeCell ref="G6:H6"/>
    <mergeCell ref="C4:J4"/>
    <mergeCell ref="C5:J5"/>
  </mergeCells>
  <printOptions/>
  <pageMargins left="0.25" right="0.25" top="0.75" bottom="0.75" header="0.3" footer="0.3"/>
  <pageSetup fitToHeight="3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H21"/>
  <sheetViews>
    <sheetView zoomScalePageLayoutView="0" workbookViewId="0" topLeftCell="A1">
      <selection activeCell="H12" sqref="H12"/>
    </sheetView>
  </sheetViews>
  <sheetFormatPr defaultColWidth="9.00390625" defaultRowHeight="12.75"/>
  <cols>
    <col min="2" max="2" width="6.625" style="0" customWidth="1"/>
    <col min="3" max="3" width="35.625" style="0" customWidth="1"/>
    <col min="4" max="4" width="8.375" style="0" customWidth="1"/>
    <col min="5" max="5" width="14.625" style="0" customWidth="1"/>
  </cols>
  <sheetData>
    <row r="1" spans="2:6" ht="98.25" customHeight="1">
      <c r="B1" s="8"/>
      <c r="D1" s="1676" t="s">
        <v>859</v>
      </c>
      <c r="E1" s="1676"/>
      <c r="F1" s="1676"/>
    </row>
    <row r="3" ht="19.5" customHeight="1"/>
    <row r="4" spans="2:8" ht="40.5" customHeight="1">
      <c r="B4" s="1719" t="s">
        <v>860</v>
      </c>
      <c r="C4" s="1719"/>
      <c r="D4" s="1719"/>
      <c r="E4" s="1719"/>
      <c r="H4" t="s">
        <v>865</v>
      </c>
    </row>
    <row r="5" spans="2:5" ht="15.75">
      <c r="B5" s="1723" t="s">
        <v>35</v>
      </c>
      <c r="C5" s="1723"/>
      <c r="D5" s="1723"/>
      <c r="E5" s="1723"/>
    </row>
    <row r="6" ht="13.5" thickBot="1"/>
    <row r="7" spans="2:5" ht="12.75" customHeight="1">
      <c r="B7" s="1604" t="s">
        <v>269</v>
      </c>
      <c r="C7" s="1606" t="s">
        <v>3</v>
      </c>
      <c r="D7" s="1721" t="s">
        <v>779</v>
      </c>
      <c r="E7" s="1606" t="s">
        <v>359</v>
      </c>
    </row>
    <row r="8" spans="2:5" ht="13.5" thickBot="1">
      <c r="B8" s="1720"/>
      <c r="C8" s="1619"/>
      <c r="D8" s="1722"/>
      <c r="E8" s="1607"/>
    </row>
    <row r="9" spans="2:5" ht="13.5" thickBot="1">
      <c r="B9" s="1605"/>
      <c r="C9" s="1607"/>
      <c r="D9" s="951" t="s">
        <v>43</v>
      </c>
      <c r="E9" s="951" t="s">
        <v>42</v>
      </c>
    </row>
    <row r="10" spans="2:5" ht="6.75" customHeight="1" thickBot="1">
      <c r="B10" s="4"/>
      <c r="C10" s="5"/>
      <c r="D10" s="956"/>
      <c r="E10" s="956"/>
    </row>
    <row r="11" spans="2:6" ht="12.75">
      <c r="B11" s="95">
        <f aca="true" t="shared" si="0" ref="B11:B17">B10+1</f>
        <v>1</v>
      </c>
      <c r="C11" s="734" t="s">
        <v>45</v>
      </c>
      <c r="D11" s="959">
        <v>1</v>
      </c>
      <c r="E11" s="735"/>
      <c r="F11" s="3"/>
    </row>
    <row r="12" spans="2:6" ht="12.75">
      <c r="B12" s="95">
        <f t="shared" si="0"/>
        <v>2</v>
      </c>
      <c r="C12" s="94" t="s">
        <v>688</v>
      </c>
      <c r="D12" s="959">
        <v>1</v>
      </c>
      <c r="E12" s="736"/>
      <c r="F12" s="3"/>
    </row>
    <row r="13" spans="2:6" ht="12.75">
      <c r="B13" s="95">
        <f t="shared" si="0"/>
        <v>3</v>
      </c>
      <c r="C13" s="96" t="s">
        <v>549</v>
      </c>
      <c r="D13" s="959">
        <v>5</v>
      </c>
      <c r="E13" s="736"/>
      <c r="F13" s="3"/>
    </row>
    <row r="14" spans="2:6" ht="12.75">
      <c r="B14" s="95">
        <f t="shared" si="0"/>
        <v>4</v>
      </c>
      <c r="C14" s="96" t="s">
        <v>558</v>
      </c>
      <c r="D14" s="959">
        <v>4</v>
      </c>
      <c r="E14" s="736"/>
      <c r="F14" s="3"/>
    </row>
    <row r="15" spans="2:6" ht="12.75">
      <c r="B15" s="95">
        <f t="shared" si="0"/>
        <v>5</v>
      </c>
      <c r="C15" s="96" t="s">
        <v>560</v>
      </c>
      <c r="D15" s="959">
        <v>4</v>
      </c>
      <c r="E15" s="736"/>
      <c r="F15" s="3"/>
    </row>
    <row r="16" spans="2:6" ht="12.75">
      <c r="B16" s="95">
        <f t="shared" si="0"/>
        <v>6</v>
      </c>
      <c r="C16" s="96" t="s">
        <v>561</v>
      </c>
      <c r="D16" s="959">
        <v>4</v>
      </c>
      <c r="E16" s="736"/>
      <c r="F16" s="3"/>
    </row>
    <row r="17" spans="2:6" ht="13.5" thickBot="1">
      <c r="B17" s="95">
        <f t="shared" si="0"/>
        <v>7</v>
      </c>
      <c r="C17" s="96" t="s">
        <v>466</v>
      </c>
      <c r="D17" s="959">
        <v>1</v>
      </c>
      <c r="E17" s="736"/>
      <c r="F17" s="3"/>
    </row>
    <row r="18" spans="2:5" ht="13.5" thickBot="1">
      <c r="B18" s="93"/>
      <c r="C18" s="92" t="s">
        <v>132</v>
      </c>
      <c r="D18" s="958">
        <v>20</v>
      </c>
      <c r="E18" s="957">
        <v>41.1776</v>
      </c>
    </row>
    <row r="19" spans="3:5" ht="12.75">
      <c r="C19" s="3"/>
      <c r="D19" s="3"/>
      <c r="E19" s="3"/>
    </row>
    <row r="20" spans="3:5" ht="12.75">
      <c r="C20" s="3"/>
      <c r="D20" s="3"/>
      <c r="E20" s="3"/>
    </row>
    <row r="21" spans="3:5" ht="12.75">
      <c r="C21" s="3" t="s">
        <v>73</v>
      </c>
      <c r="D21" s="3" t="s">
        <v>356</v>
      </c>
      <c r="E21" s="3"/>
    </row>
  </sheetData>
  <sheetProtection/>
  <autoFilter ref="B10:E18"/>
  <mergeCells count="7">
    <mergeCell ref="D1:F1"/>
    <mergeCell ref="B4:E4"/>
    <mergeCell ref="B7:B9"/>
    <mergeCell ref="C7:C9"/>
    <mergeCell ref="D7:D8"/>
    <mergeCell ref="E7:E8"/>
    <mergeCell ref="B5:E5"/>
  </mergeCells>
  <printOptions/>
  <pageMargins left="0.7086614173228347" right="0.7086614173228347" top="0.9448818897637796" bottom="0.7480314960629921" header="0" footer="0"/>
  <pageSetup fitToHeight="0" fitToWidth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B2:M45"/>
  <sheetViews>
    <sheetView zoomScale="110" zoomScaleNormal="110" zoomScalePageLayoutView="0" workbookViewId="0" topLeftCell="A10">
      <selection activeCell="J24" sqref="J24"/>
    </sheetView>
  </sheetViews>
  <sheetFormatPr defaultColWidth="9.00390625" defaultRowHeight="12.75"/>
  <cols>
    <col min="2" max="2" width="5.75390625" style="3" customWidth="1"/>
    <col min="3" max="3" width="25.875" style="3" customWidth="1"/>
    <col min="4" max="5" width="7.625" style="3" customWidth="1"/>
    <col min="6" max="6" width="7.875" style="1384" customWidth="1"/>
    <col min="7" max="7" width="5.875" style="3" customWidth="1"/>
    <col min="8" max="8" width="10.25390625" style="3" customWidth="1"/>
    <col min="9" max="9" width="6.00390625" style="3" customWidth="1"/>
    <col min="10" max="10" width="11.00390625" style="3" customWidth="1"/>
    <col min="11" max="11" width="32.00390625" style="3" customWidth="1"/>
    <col min="12" max="12" width="0.12890625" style="0" customWidth="1"/>
  </cols>
  <sheetData>
    <row r="2" spans="2:11" ht="15.75">
      <c r="B2" s="11"/>
      <c r="C2" s="11"/>
      <c r="D2" s="11"/>
      <c r="E2" s="11"/>
      <c r="F2" s="1409"/>
      <c r="G2" s="1738" t="s">
        <v>133</v>
      </c>
      <c r="H2" s="1738"/>
      <c r="I2" s="1738"/>
      <c r="J2" s="1738"/>
      <c r="K2" s="1738"/>
    </row>
    <row r="3" spans="2:11" ht="15.75" customHeight="1">
      <c r="B3" s="11"/>
      <c r="C3" s="11"/>
      <c r="D3" s="1410"/>
      <c r="E3" s="1410"/>
      <c r="F3" s="1411"/>
      <c r="G3" s="1738" t="s">
        <v>53</v>
      </c>
      <c r="H3" s="1738"/>
      <c r="I3" s="1738"/>
      <c r="J3" s="1738"/>
      <c r="K3" s="1738"/>
    </row>
    <row r="4" spans="2:11" ht="12" customHeight="1">
      <c r="B4" s="11"/>
      <c r="C4" s="11"/>
      <c r="D4" s="12"/>
      <c r="E4" s="12"/>
      <c r="F4" s="1409"/>
      <c r="G4" s="1738" t="s">
        <v>35</v>
      </c>
      <c r="H4" s="1738"/>
      <c r="I4" s="1738"/>
      <c r="J4" s="1738"/>
      <c r="K4" s="1738"/>
    </row>
    <row r="5" spans="2:11" ht="13.5" customHeight="1">
      <c r="B5" s="11"/>
      <c r="C5" s="11"/>
      <c r="D5" s="12"/>
      <c r="E5" s="12"/>
      <c r="F5" s="1409"/>
      <c r="G5" s="1738" t="s">
        <v>776</v>
      </c>
      <c r="H5" s="1738"/>
      <c r="I5" s="1738"/>
      <c r="J5" s="1738"/>
      <c r="K5" s="1738"/>
    </row>
    <row r="6" spans="2:11" ht="7.5" customHeight="1">
      <c r="B6" s="11"/>
      <c r="C6" s="11"/>
      <c r="D6" s="11"/>
      <c r="E6" s="11"/>
      <c r="F6" s="1409"/>
      <c r="G6" s="11"/>
      <c r="H6" s="11"/>
      <c r="I6" s="11"/>
      <c r="J6" s="11"/>
      <c r="K6" s="11"/>
    </row>
    <row r="7" spans="2:12" ht="15.75" customHeight="1">
      <c r="B7" s="1739" t="s">
        <v>808</v>
      </c>
      <c r="C7" s="1739"/>
      <c r="D7" s="1739"/>
      <c r="E7" s="1739"/>
      <c r="F7" s="1739"/>
      <c r="G7" s="1739"/>
      <c r="H7" s="1739"/>
      <c r="I7" s="1739"/>
      <c r="J7" s="1739"/>
      <c r="K7" s="1739"/>
      <c r="L7" s="40"/>
    </row>
    <row r="8" spans="2:12" ht="16.5" thickBot="1">
      <c r="B8" s="1740"/>
      <c r="C8" s="1740"/>
      <c r="D8" s="1740"/>
      <c r="E8" s="1740"/>
      <c r="F8" s="1740"/>
      <c r="G8" s="1740"/>
      <c r="H8" s="1740"/>
      <c r="I8" s="1740"/>
      <c r="J8" s="1740"/>
      <c r="K8" s="1740"/>
      <c r="L8" s="40"/>
    </row>
    <row r="9" spans="2:12" ht="15" customHeight="1" thickBot="1">
      <c r="B9" s="1741" t="s">
        <v>2</v>
      </c>
      <c r="C9" s="1744" t="s">
        <v>3</v>
      </c>
      <c r="D9" s="1747" t="s">
        <v>810</v>
      </c>
      <c r="E9" s="1730" t="s">
        <v>811</v>
      </c>
      <c r="F9" s="1730" t="s">
        <v>812</v>
      </c>
      <c r="G9" s="1735" t="s">
        <v>105</v>
      </c>
      <c r="H9" s="1736"/>
      <c r="I9" s="1737" t="s">
        <v>106</v>
      </c>
      <c r="J9" s="1736"/>
      <c r="K9" s="1655" t="s">
        <v>107</v>
      </c>
      <c r="L9" s="1725" t="s">
        <v>38</v>
      </c>
    </row>
    <row r="10" spans="2:12" ht="16.5" customHeight="1">
      <c r="B10" s="1742"/>
      <c r="C10" s="1745"/>
      <c r="D10" s="1748"/>
      <c r="E10" s="1734"/>
      <c r="F10" s="1734"/>
      <c r="G10" s="1728" t="s">
        <v>43</v>
      </c>
      <c r="H10" s="1730" t="s">
        <v>347</v>
      </c>
      <c r="I10" s="1732" t="s">
        <v>43</v>
      </c>
      <c r="J10" s="1730" t="s">
        <v>347</v>
      </c>
      <c r="K10" s="1724"/>
      <c r="L10" s="1726"/>
    </row>
    <row r="11" spans="2:12" ht="27.75" customHeight="1" thickBot="1">
      <c r="B11" s="1743"/>
      <c r="C11" s="1746"/>
      <c r="D11" s="1749"/>
      <c r="E11" s="1731"/>
      <c r="F11" s="1731"/>
      <c r="G11" s="1729"/>
      <c r="H11" s="1731"/>
      <c r="I11" s="1733"/>
      <c r="J11" s="1731"/>
      <c r="K11" s="1657"/>
      <c r="L11" s="1727"/>
    </row>
    <row r="12" spans="2:12" ht="9" customHeight="1">
      <c r="B12" s="1406"/>
      <c r="C12" s="1412"/>
      <c r="D12" s="1414"/>
      <c r="E12" s="1415"/>
      <c r="F12" s="1413"/>
      <c r="G12" s="1416"/>
      <c r="H12" s="1417"/>
      <c r="I12" s="1418"/>
      <c r="J12" s="1417"/>
      <c r="K12" s="834"/>
      <c r="L12" s="1014"/>
    </row>
    <row r="13" spans="2:13" ht="15" customHeight="1">
      <c r="B13" s="1180">
        <v>1</v>
      </c>
      <c r="C13" s="1181" t="s">
        <v>26</v>
      </c>
      <c r="D13" s="1182"/>
      <c r="E13" s="1215"/>
      <c r="F13" s="1220">
        <v>2</v>
      </c>
      <c r="G13" s="1184">
        <v>2</v>
      </c>
      <c r="H13" s="1183">
        <v>26.776</v>
      </c>
      <c r="I13" s="1185"/>
      <c r="J13" s="1186"/>
      <c r="K13" s="1187" t="s">
        <v>411</v>
      </c>
      <c r="L13" s="631"/>
      <c r="M13" s="3"/>
    </row>
    <row r="14" spans="2:13" ht="15" customHeight="1">
      <c r="B14" s="1180">
        <v>2</v>
      </c>
      <c r="C14" s="1188" t="s">
        <v>711</v>
      </c>
      <c r="D14" s="1189"/>
      <c r="E14" s="1216">
        <v>1</v>
      </c>
      <c r="F14" s="1221"/>
      <c r="G14" s="1191"/>
      <c r="H14" s="1190"/>
      <c r="I14" s="1189">
        <v>1</v>
      </c>
      <c r="J14" s="1192">
        <v>13</v>
      </c>
      <c r="K14" s="1193" t="s">
        <v>817</v>
      </c>
      <c r="L14" s="631"/>
      <c r="M14" s="3"/>
    </row>
    <row r="15" spans="2:13" ht="15" customHeight="1">
      <c r="B15" s="1180">
        <v>3</v>
      </c>
      <c r="C15" s="1181" t="s">
        <v>100</v>
      </c>
      <c r="D15" s="1185"/>
      <c r="E15" s="1217"/>
      <c r="F15" s="1222">
        <v>1</v>
      </c>
      <c r="G15" s="1195">
        <v>1</v>
      </c>
      <c r="H15" s="1194">
        <v>13.388</v>
      </c>
      <c r="I15" s="1185"/>
      <c r="J15" s="1186"/>
      <c r="K15" s="1196" t="s">
        <v>407</v>
      </c>
      <c r="L15" s="832"/>
      <c r="M15" s="3"/>
    </row>
    <row r="16" spans="2:13" ht="15" customHeight="1">
      <c r="B16" s="1180">
        <v>4</v>
      </c>
      <c r="C16" s="1181" t="s">
        <v>425</v>
      </c>
      <c r="D16" s="1197">
        <v>1</v>
      </c>
      <c r="E16" s="1218"/>
      <c r="F16" s="1220"/>
      <c r="G16" s="1184"/>
      <c r="H16" s="1201"/>
      <c r="I16" s="1185">
        <v>1</v>
      </c>
      <c r="J16" s="1186">
        <v>9.552</v>
      </c>
      <c r="K16" s="1202" t="s">
        <v>813</v>
      </c>
      <c r="L16" s="632"/>
      <c r="M16" s="3"/>
    </row>
    <row r="17" spans="2:13" ht="15" customHeight="1">
      <c r="B17" s="1180">
        <v>5</v>
      </c>
      <c r="C17" s="1203" t="s">
        <v>549</v>
      </c>
      <c r="D17" s="1182">
        <v>5</v>
      </c>
      <c r="E17" s="1215"/>
      <c r="F17" s="1220"/>
      <c r="G17" s="1184"/>
      <c r="H17" s="1183"/>
      <c r="I17" s="1185">
        <v>5</v>
      </c>
      <c r="J17" s="1186">
        <v>87.5</v>
      </c>
      <c r="K17" s="1196" t="s">
        <v>550</v>
      </c>
      <c r="L17" s="1015"/>
      <c r="M17" s="3"/>
    </row>
    <row r="18" spans="2:13" ht="15" customHeight="1">
      <c r="B18" s="1180">
        <v>6</v>
      </c>
      <c r="C18" s="1203" t="s">
        <v>558</v>
      </c>
      <c r="D18" s="1182">
        <v>2</v>
      </c>
      <c r="E18" s="1215">
        <v>2</v>
      </c>
      <c r="F18" s="1220"/>
      <c r="G18" s="1184"/>
      <c r="H18" s="1183"/>
      <c r="I18" s="1185">
        <v>4</v>
      </c>
      <c r="J18" s="1186">
        <v>61</v>
      </c>
      <c r="K18" s="1202" t="s">
        <v>821</v>
      </c>
      <c r="L18" s="676"/>
      <c r="M18" s="3"/>
    </row>
    <row r="19" spans="2:13" ht="15" customHeight="1">
      <c r="B19" s="1180">
        <v>7</v>
      </c>
      <c r="C19" s="1203" t="s">
        <v>560</v>
      </c>
      <c r="D19" s="1182"/>
      <c r="E19" s="1215">
        <v>2</v>
      </c>
      <c r="F19" s="1220"/>
      <c r="G19" s="1184"/>
      <c r="H19" s="1194"/>
      <c r="I19" s="1185">
        <v>2</v>
      </c>
      <c r="J19" s="1186">
        <v>26</v>
      </c>
      <c r="K19" s="1204" t="s">
        <v>822</v>
      </c>
      <c r="L19" s="869"/>
      <c r="M19" s="3"/>
    </row>
    <row r="20" spans="2:13" ht="15" customHeight="1">
      <c r="B20" s="1180">
        <v>8</v>
      </c>
      <c r="C20" s="1203" t="s">
        <v>561</v>
      </c>
      <c r="D20" s="1182"/>
      <c r="E20" s="1215">
        <v>2</v>
      </c>
      <c r="F20" s="1220"/>
      <c r="G20" s="1184"/>
      <c r="H20" s="1194"/>
      <c r="I20" s="1185">
        <v>2</v>
      </c>
      <c r="J20" s="1186">
        <v>26</v>
      </c>
      <c r="K20" s="1204" t="s">
        <v>822</v>
      </c>
      <c r="L20" s="869"/>
      <c r="M20" s="3"/>
    </row>
    <row r="21" spans="2:13" ht="15" customHeight="1">
      <c r="B21" s="1180">
        <v>9</v>
      </c>
      <c r="C21" s="1203" t="s">
        <v>556</v>
      </c>
      <c r="D21" s="1182">
        <v>1</v>
      </c>
      <c r="E21" s="1215"/>
      <c r="F21" s="1220"/>
      <c r="G21" s="1184"/>
      <c r="H21" s="1183"/>
      <c r="I21" s="1185">
        <v>1</v>
      </c>
      <c r="J21" s="1186">
        <v>9.552</v>
      </c>
      <c r="K21" s="1202" t="s">
        <v>814</v>
      </c>
      <c r="L21" s="1016"/>
      <c r="M21" s="3"/>
    </row>
    <row r="22" spans="2:13" ht="15" customHeight="1">
      <c r="B22" s="1180">
        <v>10</v>
      </c>
      <c r="C22" s="1203" t="s">
        <v>514</v>
      </c>
      <c r="D22" s="1182">
        <v>2</v>
      </c>
      <c r="E22" s="1215"/>
      <c r="F22" s="1220"/>
      <c r="G22" s="1184"/>
      <c r="H22" s="1183"/>
      <c r="I22" s="1185">
        <v>2</v>
      </c>
      <c r="J22" s="1186">
        <v>35</v>
      </c>
      <c r="K22" s="1187" t="s">
        <v>823</v>
      </c>
      <c r="L22" s="633"/>
      <c r="M22" s="3"/>
    </row>
    <row r="23" spans="2:13" ht="15" customHeight="1">
      <c r="B23" s="1180">
        <v>11</v>
      </c>
      <c r="C23" s="1203" t="s">
        <v>512</v>
      </c>
      <c r="D23" s="1182">
        <v>4</v>
      </c>
      <c r="E23" s="1215"/>
      <c r="F23" s="1220"/>
      <c r="G23" s="1184"/>
      <c r="H23" s="1183"/>
      <c r="I23" s="1185">
        <v>4</v>
      </c>
      <c r="J23" s="1186">
        <v>70</v>
      </c>
      <c r="K23" s="1187" t="s">
        <v>824</v>
      </c>
      <c r="L23" s="868"/>
      <c r="M23" s="3"/>
    </row>
    <row r="24" spans="2:13" ht="15" customHeight="1">
      <c r="B24" s="1180">
        <v>12</v>
      </c>
      <c r="C24" s="1203" t="s">
        <v>513</v>
      </c>
      <c r="D24" s="1182">
        <v>2</v>
      </c>
      <c r="E24" s="1215"/>
      <c r="F24" s="1220"/>
      <c r="G24" s="1184"/>
      <c r="H24" s="1183"/>
      <c r="I24" s="1185">
        <v>2</v>
      </c>
      <c r="J24" s="1186">
        <v>35</v>
      </c>
      <c r="K24" s="1187" t="s">
        <v>825</v>
      </c>
      <c r="L24" s="868"/>
      <c r="M24" s="3"/>
    </row>
    <row r="25" spans="2:13" ht="15" customHeight="1">
      <c r="B25" s="1180">
        <v>13</v>
      </c>
      <c r="C25" s="1203" t="s">
        <v>504</v>
      </c>
      <c r="D25" s="1182">
        <v>3</v>
      </c>
      <c r="E25" s="1215"/>
      <c r="F25" s="1220"/>
      <c r="G25" s="1184"/>
      <c r="H25" s="1183"/>
      <c r="I25" s="1185">
        <v>3</v>
      </c>
      <c r="J25" s="1186">
        <v>28.656</v>
      </c>
      <c r="K25" s="1187" t="s">
        <v>505</v>
      </c>
      <c r="L25" s="868"/>
      <c r="M25" s="3"/>
    </row>
    <row r="26" spans="2:13" ht="15" customHeight="1">
      <c r="B26" s="1180">
        <v>14</v>
      </c>
      <c r="C26" s="1205" t="s">
        <v>653</v>
      </c>
      <c r="D26" s="1182">
        <v>2</v>
      </c>
      <c r="E26" s="1215"/>
      <c r="F26" s="1220"/>
      <c r="G26" s="1184"/>
      <c r="H26" s="1183"/>
      <c r="I26" s="1185">
        <v>2</v>
      </c>
      <c r="J26" s="1186">
        <v>35</v>
      </c>
      <c r="K26" s="1187" t="s">
        <v>826</v>
      </c>
      <c r="L26" s="868"/>
      <c r="M26" s="3"/>
    </row>
    <row r="27" spans="2:13" ht="15" customHeight="1">
      <c r="B27" s="1180">
        <v>15</v>
      </c>
      <c r="C27" s="1205" t="s">
        <v>521</v>
      </c>
      <c r="D27" s="1182">
        <v>1</v>
      </c>
      <c r="E27" s="1215"/>
      <c r="F27" s="1220"/>
      <c r="G27" s="1184"/>
      <c r="H27" s="1183"/>
      <c r="I27" s="1185">
        <v>1</v>
      </c>
      <c r="J27" s="1186">
        <v>9.552</v>
      </c>
      <c r="K27" s="1187" t="s">
        <v>827</v>
      </c>
      <c r="L27" s="632"/>
      <c r="M27" s="3"/>
    </row>
    <row r="28" spans="2:13" ht="15" customHeight="1">
      <c r="B28" s="1180">
        <v>16</v>
      </c>
      <c r="C28" s="1206" t="s">
        <v>71</v>
      </c>
      <c r="D28" s="1189"/>
      <c r="E28" s="1216">
        <v>3</v>
      </c>
      <c r="F28" s="1221"/>
      <c r="G28" s="1191"/>
      <c r="H28" s="1190"/>
      <c r="I28" s="1189">
        <v>3</v>
      </c>
      <c r="J28" s="1192">
        <v>39</v>
      </c>
      <c r="K28" s="1193" t="s">
        <v>818</v>
      </c>
      <c r="L28" s="632"/>
      <c r="M28" s="3"/>
    </row>
    <row r="29" spans="2:13" ht="15" customHeight="1">
      <c r="B29" s="1180">
        <v>17</v>
      </c>
      <c r="C29" s="1206" t="s">
        <v>736</v>
      </c>
      <c r="D29" s="1189"/>
      <c r="E29" s="1216">
        <v>5</v>
      </c>
      <c r="F29" s="1221"/>
      <c r="G29" s="1191"/>
      <c r="H29" s="1190"/>
      <c r="I29" s="1189">
        <v>5</v>
      </c>
      <c r="J29" s="1192">
        <v>65</v>
      </c>
      <c r="K29" s="1193" t="s">
        <v>819</v>
      </c>
      <c r="L29" s="632"/>
      <c r="M29" s="3"/>
    </row>
    <row r="30" spans="2:13" ht="15" customHeight="1">
      <c r="B30" s="1180">
        <v>18</v>
      </c>
      <c r="C30" s="1205" t="s">
        <v>546</v>
      </c>
      <c r="D30" s="1197"/>
      <c r="E30" s="1218">
        <v>2</v>
      </c>
      <c r="F30" s="1220"/>
      <c r="G30" s="1184"/>
      <c r="H30" s="1207"/>
      <c r="I30" s="1185">
        <v>2</v>
      </c>
      <c r="J30" s="1186">
        <v>26</v>
      </c>
      <c r="K30" s="1196" t="s">
        <v>828</v>
      </c>
      <c r="L30" s="1017"/>
      <c r="M30" s="3"/>
    </row>
    <row r="31" spans="2:13" ht="15" customHeight="1">
      <c r="B31" s="1180">
        <v>19</v>
      </c>
      <c r="C31" s="1205" t="s">
        <v>815</v>
      </c>
      <c r="D31" s="1197"/>
      <c r="E31" s="1218">
        <v>2</v>
      </c>
      <c r="F31" s="1220"/>
      <c r="G31" s="1184"/>
      <c r="H31" s="1207"/>
      <c r="I31" s="1199">
        <v>2</v>
      </c>
      <c r="J31" s="1198">
        <v>26</v>
      </c>
      <c r="K31" s="1196" t="s">
        <v>861</v>
      </c>
      <c r="L31" s="1017"/>
      <c r="M31" s="3"/>
    </row>
    <row r="32" spans="2:13" ht="15" customHeight="1">
      <c r="B32" s="1180">
        <v>20</v>
      </c>
      <c r="C32" s="1205" t="s">
        <v>659</v>
      </c>
      <c r="D32" s="1197"/>
      <c r="E32" s="1218"/>
      <c r="F32" s="1220">
        <v>4</v>
      </c>
      <c r="G32" s="1184">
        <v>4</v>
      </c>
      <c r="H32" s="1200">
        <v>53.552</v>
      </c>
      <c r="I32" s="1185"/>
      <c r="J32" s="1186"/>
      <c r="K32" s="1187" t="s">
        <v>862</v>
      </c>
      <c r="L32" s="632"/>
      <c r="M32" s="3"/>
    </row>
    <row r="33" spans="2:13" ht="15" customHeight="1">
      <c r="B33" s="1180">
        <v>21</v>
      </c>
      <c r="C33" s="1203" t="s">
        <v>534</v>
      </c>
      <c r="D33" s="1182"/>
      <c r="E33" s="1215">
        <v>2</v>
      </c>
      <c r="F33" s="1220"/>
      <c r="G33" s="1184"/>
      <c r="H33" s="1183"/>
      <c r="I33" s="1185">
        <v>2</v>
      </c>
      <c r="J33" s="1186">
        <v>26</v>
      </c>
      <c r="K33" s="1187" t="s">
        <v>816</v>
      </c>
      <c r="L33" s="632"/>
      <c r="M33" s="3"/>
    </row>
    <row r="34" spans="2:13" ht="15" customHeight="1">
      <c r="B34" s="1180">
        <v>22</v>
      </c>
      <c r="C34" s="1181" t="s">
        <v>535</v>
      </c>
      <c r="D34" s="1185"/>
      <c r="E34" s="1217">
        <v>2</v>
      </c>
      <c r="F34" s="1222"/>
      <c r="G34" s="1195"/>
      <c r="H34" s="1194"/>
      <c r="I34" s="1185">
        <v>2</v>
      </c>
      <c r="J34" s="1186">
        <v>26</v>
      </c>
      <c r="K34" s="1196" t="s">
        <v>816</v>
      </c>
      <c r="L34" s="832"/>
      <c r="M34" s="3"/>
    </row>
    <row r="35" spans="2:13" ht="15" customHeight="1">
      <c r="B35" s="1180">
        <v>23</v>
      </c>
      <c r="C35" s="1203" t="s">
        <v>508</v>
      </c>
      <c r="D35" s="1182">
        <v>20</v>
      </c>
      <c r="E35" s="1215"/>
      <c r="F35" s="1220"/>
      <c r="G35" s="1184"/>
      <c r="H35" s="1194"/>
      <c r="I35" s="1185">
        <v>20</v>
      </c>
      <c r="J35" s="1186">
        <v>350</v>
      </c>
      <c r="K35" s="1196" t="s">
        <v>820</v>
      </c>
      <c r="L35" s="832"/>
      <c r="M35" s="3"/>
    </row>
    <row r="36" spans="2:13" ht="15" customHeight="1">
      <c r="B36" s="1180">
        <v>24</v>
      </c>
      <c r="C36" s="1203" t="s">
        <v>509</v>
      </c>
      <c r="D36" s="1182">
        <v>2</v>
      </c>
      <c r="E36" s="1215"/>
      <c r="F36" s="1220"/>
      <c r="G36" s="1184"/>
      <c r="H36" s="1183"/>
      <c r="I36" s="1185">
        <v>2</v>
      </c>
      <c r="J36" s="1186">
        <v>35</v>
      </c>
      <c r="K36" s="1187" t="s">
        <v>829</v>
      </c>
      <c r="L36" s="633"/>
      <c r="M36" s="3"/>
    </row>
    <row r="37" spans="2:13" ht="15" customHeight="1">
      <c r="B37" s="1180">
        <v>25</v>
      </c>
      <c r="C37" s="1203" t="s">
        <v>554</v>
      </c>
      <c r="D37" s="1182">
        <v>4</v>
      </c>
      <c r="E37" s="1215"/>
      <c r="F37" s="1220">
        <v>1</v>
      </c>
      <c r="G37" s="1184">
        <v>1</v>
      </c>
      <c r="H37" s="1183">
        <v>13.388</v>
      </c>
      <c r="I37" s="1185">
        <v>4</v>
      </c>
      <c r="J37" s="1186">
        <v>70</v>
      </c>
      <c r="K37" s="1187" t="s">
        <v>822</v>
      </c>
      <c r="L37" s="1018"/>
      <c r="M37" s="3"/>
    </row>
    <row r="38" spans="2:13" ht="15" customHeight="1">
      <c r="B38" s="1180">
        <v>26</v>
      </c>
      <c r="C38" s="1203" t="s">
        <v>552</v>
      </c>
      <c r="D38" s="1182">
        <v>4</v>
      </c>
      <c r="E38" s="1215">
        <v>2</v>
      </c>
      <c r="F38" s="1220"/>
      <c r="G38" s="1184"/>
      <c r="H38" s="1183"/>
      <c r="I38" s="1185">
        <v>6</v>
      </c>
      <c r="J38" s="1186">
        <v>96</v>
      </c>
      <c r="K38" s="1187" t="s">
        <v>830</v>
      </c>
      <c r="L38" s="1019"/>
      <c r="M38" s="3"/>
    </row>
    <row r="39" spans="2:13" ht="15" customHeight="1">
      <c r="B39" s="1180">
        <v>27</v>
      </c>
      <c r="C39" s="1203" t="s">
        <v>555</v>
      </c>
      <c r="D39" s="1182">
        <v>3</v>
      </c>
      <c r="E39" s="1215">
        <v>3</v>
      </c>
      <c r="F39" s="1220"/>
      <c r="G39" s="1184"/>
      <c r="H39" s="1183"/>
      <c r="I39" s="1185">
        <v>6</v>
      </c>
      <c r="J39" s="1186">
        <v>91.5</v>
      </c>
      <c r="K39" s="1202" t="s">
        <v>831</v>
      </c>
      <c r="L39" s="1018"/>
      <c r="M39" s="3"/>
    </row>
    <row r="40" spans="2:13" ht="15" customHeight="1" thickBot="1">
      <c r="B40" s="1180">
        <v>28</v>
      </c>
      <c r="C40" s="1208" t="s">
        <v>562</v>
      </c>
      <c r="D40" s="1209"/>
      <c r="E40" s="1219">
        <v>2</v>
      </c>
      <c r="F40" s="1223"/>
      <c r="G40" s="1211"/>
      <c r="H40" s="1212"/>
      <c r="I40" s="1213">
        <v>2</v>
      </c>
      <c r="J40" s="1210">
        <v>26</v>
      </c>
      <c r="K40" s="1214" t="s">
        <v>822</v>
      </c>
      <c r="L40" s="1020"/>
      <c r="M40" s="3"/>
    </row>
    <row r="41" spans="2:12" ht="17.25" customHeight="1" thickBot="1">
      <c r="B41" s="1407"/>
      <c r="C41" s="1419" t="s">
        <v>132</v>
      </c>
      <c r="D41" s="1420">
        <v>56</v>
      </c>
      <c r="E41" s="1421">
        <v>30</v>
      </c>
      <c r="F41" s="1422">
        <v>8</v>
      </c>
      <c r="G41" s="1423">
        <v>8</v>
      </c>
      <c r="H41" s="1424">
        <v>107.10400000000001</v>
      </c>
      <c r="I41" s="1420">
        <v>86</v>
      </c>
      <c r="J41" s="1424">
        <v>1322.312</v>
      </c>
      <c r="K41" s="1425"/>
      <c r="L41" s="41"/>
    </row>
    <row r="42" spans="2:11" ht="17.25" customHeight="1" thickBot="1">
      <c r="B42" s="1408"/>
      <c r="C42" s="1426" t="s">
        <v>103</v>
      </c>
      <c r="D42" s="1427"/>
      <c r="E42" s="1427"/>
      <c r="F42" s="1428"/>
      <c r="G42" s="1426"/>
      <c r="H42" s="1426"/>
      <c r="I42" s="1426"/>
      <c r="J42" s="105">
        <v>1429.416</v>
      </c>
      <c r="K42" s="1429"/>
    </row>
    <row r="43" spans="2:11" ht="15.75">
      <c r="B43" s="11"/>
      <c r="C43" s="11"/>
      <c r="D43" s="1430"/>
      <c r="E43" s="1430"/>
      <c r="F43" s="1431"/>
      <c r="G43" s="11"/>
      <c r="H43" s="11"/>
      <c r="I43" s="11"/>
      <c r="J43" s="1112"/>
      <c r="K43" s="11"/>
    </row>
    <row r="44" spans="2:11" ht="15.75">
      <c r="B44" s="11"/>
      <c r="C44" s="1432"/>
      <c r="D44" s="1432"/>
      <c r="E44" s="1432"/>
      <c r="F44" s="1433"/>
      <c r="G44" s="11"/>
      <c r="H44" s="11"/>
      <c r="I44" s="11"/>
      <c r="J44" s="11"/>
      <c r="K44" s="11"/>
    </row>
    <row r="45" spans="2:13" ht="12.75">
      <c r="B45" s="835"/>
      <c r="C45" s="835" t="s">
        <v>236</v>
      </c>
      <c r="D45" s="835"/>
      <c r="E45" s="835"/>
      <c r="F45" s="865"/>
      <c r="G45" s="835"/>
      <c r="H45" s="835" t="s">
        <v>356</v>
      </c>
      <c r="I45" s="835"/>
      <c r="J45" s="835"/>
      <c r="K45" s="835"/>
      <c r="L45" s="816"/>
      <c r="M45" s="3"/>
    </row>
  </sheetData>
  <sheetProtection/>
  <autoFilter ref="B12:K44"/>
  <mergeCells count="18">
    <mergeCell ref="D9:D11"/>
    <mergeCell ref="E9:E11"/>
    <mergeCell ref="F9:F11"/>
    <mergeCell ref="G9:H9"/>
    <mergeCell ref="I9:J9"/>
    <mergeCell ref="G5:K5"/>
    <mergeCell ref="G2:K2"/>
    <mergeCell ref="G3:K3"/>
    <mergeCell ref="G4:K4"/>
    <mergeCell ref="B7:K8"/>
    <mergeCell ref="B9:B11"/>
    <mergeCell ref="C9:C11"/>
    <mergeCell ref="K9:K11"/>
    <mergeCell ref="L9:L11"/>
    <mergeCell ref="G10:G11"/>
    <mergeCell ref="H10:H11"/>
    <mergeCell ref="I10:I11"/>
    <mergeCell ref="J10:J11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H109"/>
  <sheetViews>
    <sheetView zoomScale="90" zoomScaleNormal="90" zoomScalePageLayoutView="0" workbookViewId="0" topLeftCell="A1">
      <pane xSplit="2" ySplit="12" topLeftCell="C4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5" sqref="C5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30.125" style="3" customWidth="1"/>
    <col min="4" max="4" width="13.625" style="3" customWidth="1"/>
    <col min="5" max="5" width="13.25390625" style="3" customWidth="1"/>
    <col min="6" max="6" width="16.75390625" style="3" customWidth="1"/>
    <col min="7" max="7" width="13.125" style="3" customWidth="1"/>
    <col min="8" max="8" width="9.125" style="3" customWidth="1"/>
  </cols>
  <sheetData>
    <row r="1" spans="2:7" ht="15.75" customHeight="1">
      <c r="B1" s="2"/>
      <c r="C1" s="11"/>
      <c r="D1" s="11"/>
      <c r="E1" s="11"/>
      <c r="F1" s="1383" t="s">
        <v>0</v>
      </c>
      <c r="G1" s="1434"/>
    </row>
    <row r="2" spans="2:7" ht="15.75">
      <c r="B2" s="7"/>
      <c r="C2" s="11"/>
      <c r="D2" s="11"/>
      <c r="E2" s="11"/>
      <c r="F2" s="1383" t="s">
        <v>1</v>
      </c>
      <c r="G2" s="1434"/>
    </row>
    <row r="3" spans="2:7" ht="15.75">
      <c r="B3" s="7"/>
      <c r="C3" s="11"/>
      <c r="D3" s="11"/>
      <c r="E3" s="11"/>
      <c r="F3" s="1383" t="s">
        <v>270</v>
      </c>
      <c r="G3" s="1434"/>
    </row>
    <row r="4" spans="2:7" ht="15.75">
      <c r="B4" s="7"/>
      <c r="C4" s="11"/>
      <c r="D4" s="11"/>
      <c r="E4" s="11"/>
      <c r="F4" s="1383"/>
      <c r="G4" s="1434"/>
    </row>
    <row r="5" spans="2:7" ht="15.75">
      <c r="B5" s="7"/>
      <c r="C5" s="11"/>
      <c r="D5" s="11"/>
      <c r="E5" s="11"/>
      <c r="F5" s="1383" t="s">
        <v>776</v>
      </c>
      <c r="G5" s="11"/>
    </row>
    <row r="6" spans="2:7" ht="15.75">
      <c r="B6" s="7"/>
      <c r="C6" s="11"/>
      <c r="D6" s="11"/>
      <c r="E6" s="11"/>
      <c r="F6" s="1383"/>
      <c r="G6" s="11"/>
    </row>
    <row r="7" spans="2:7" ht="15.75">
      <c r="B7" s="1752" t="s">
        <v>775</v>
      </c>
      <c r="C7" s="1752"/>
      <c r="D7" s="1752"/>
      <c r="E7" s="1752"/>
      <c r="F7" s="1752"/>
      <c r="G7" s="1752"/>
    </row>
    <row r="8" spans="2:7" ht="15.75">
      <c r="B8" s="1671" t="s">
        <v>35</v>
      </c>
      <c r="C8" s="1671"/>
      <c r="D8" s="1671"/>
      <c r="E8" s="1671"/>
      <c r="F8" s="1671"/>
      <c r="G8" s="1671"/>
    </row>
    <row r="9" spans="2:7" ht="16.5" thickBot="1">
      <c r="B9" s="7"/>
      <c r="C9" s="11"/>
      <c r="D9" s="11"/>
      <c r="E9" s="11"/>
      <c r="F9" s="11"/>
      <c r="G9" s="11"/>
    </row>
    <row r="10" spans="2:7" ht="34.5" customHeight="1">
      <c r="B10" s="1753" t="s">
        <v>36</v>
      </c>
      <c r="C10" s="1755" t="s">
        <v>3</v>
      </c>
      <c r="D10" s="1750" t="s">
        <v>266</v>
      </c>
      <c r="E10" s="1435" t="s">
        <v>490</v>
      </c>
      <c r="F10" s="1436" t="s">
        <v>864</v>
      </c>
      <c r="G10" s="1382" t="s">
        <v>652</v>
      </c>
    </row>
    <row r="11" spans="2:7" ht="16.5" thickBot="1">
      <c r="B11" s="1754"/>
      <c r="C11" s="1756"/>
      <c r="D11" s="1751"/>
      <c r="E11" s="1437" t="s">
        <v>43</v>
      </c>
      <c r="F11" s="1438" t="s">
        <v>43</v>
      </c>
      <c r="G11" s="1439" t="s">
        <v>104</v>
      </c>
    </row>
    <row r="12" spans="2:7" ht="10.5" customHeight="1" thickBot="1">
      <c r="B12" s="91"/>
      <c r="C12" s="1440"/>
      <c r="D12" s="1381"/>
      <c r="E12" s="1441"/>
      <c r="F12" s="1442"/>
      <c r="G12" s="1443"/>
    </row>
    <row r="13" spans="2:7" ht="15.75">
      <c r="B13" s="737">
        <v>1</v>
      </c>
      <c r="C13" s="1225" t="s">
        <v>452</v>
      </c>
      <c r="D13" s="1234">
        <v>6.2154772000000005</v>
      </c>
      <c r="E13" s="1232">
        <v>7</v>
      </c>
      <c r="F13" s="1231">
        <v>4</v>
      </c>
      <c r="G13" s="738">
        <v>3</v>
      </c>
    </row>
    <row r="14" spans="2:7" ht="15.75">
      <c r="B14" s="737">
        <f aca="true" t="shared" si="0" ref="B14:B77">B13+1</f>
        <v>2</v>
      </c>
      <c r="C14" s="1225" t="s">
        <v>704</v>
      </c>
      <c r="D14" s="1234">
        <v>1.1329848</v>
      </c>
      <c r="E14" s="1232">
        <v>2</v>
      </c>
      <c r="F14" s="1231">
        <v>0</v>
      </c>
      <c r="G14" s="738">
        <v>2</v>
      </c>
    </row>
    <row r="15" spans="2:7" ht="15.75">
      <c r="B15" s="737">
        <f t="shared" si="0"/>
        <v>3</v>
      </c>
      <c r="C15" s="1225" t="s">
        <v>722</v>
      </c>
      <c r="D15" s="1234">
        <v>6.774</v>
      </c>
      <c r="E15" s="1232">
        <v>6</v>
      </c>
      <c r="F15" s="1231">
        <v>6</v>
      </c>
      <c r="G15" s="738"/>
    </row>
    <row r="16" spans="2:7" ht="15.75">
      <c r="B16" s="737">
        <f t="shared" si="0"/>
        <v>4</v>
      </c>
      <c r="C16" s="1225" t="s">
        <v>706</v>
      </c>
      <c r="D16" s="1234">
        <v>9.0638784</v>
      </c>
      <c r="E16" s="1232">
        <v>16</v>
      </c>
      <c r="F16" s="1231">
        <v>0</v>
      </c>
      <c r="G16" s="738">
        <v>16</v>
      </c>
    </row>
    <row r="17" spans="2:7" ht="15.75">
      <c r="B17" s="737">
        <f t="shared" si="0"/>
        <v>5</v>
      </c>
      <c r="C17" s="1225" t="s">
        <v>25</v>
      </c>
      <c r="D17" s="1234">
        <v>11.29</v>
      </c>
      <c r="E17" s="1232">
        <v>10</v>
      </c>
      <c r="F17" s="1231">
        <v>10</v>
      </c>
      <c r="G17" s="738"/>
    </row>
    <row r="18" spans="2:7" ht="15.75">
      <c r="B18" s="737">
        <f t="shared" si="0"/>
        <v>6</v>
      </c>
      <c r="C18" s="1225" t="s">
        <v>26</v>
      </c>
      <c r="D18" s="1234">
        <v>2.2659696</v>
      </c>
      <c r="E18" s="1232">
        <v>4</v>
      </c>
      <c r="F18" s="1231">
        <v>0</v>
      </c>
      <c r="G18" s="738">
        <v>4</v>
      </c>
    </row>
    <row r="19" spans="2:7" ht="15.75">
      <c r="B19" s="737">
        <f t="shared" si="0"/>
        <v>7</v>
      </c>
      <c r="C19" s="1225" t="s">
        <v>711</v>
      </c>
      <c r="D19" s="1234">
        <v>0.5664924</v>
      </c>
      <c r="E19" s="1232">
        <v>1</v>
      </c>
      <c r="F19" s="1231">
        <v>0</v>
      </c>
      <c r="G19" s="738">
        <v>1</v>
      </c>
    </row>
    <row r="20" spans="2:7" ht="15.75">
      <c r="B20" s="737">
        <f t="shared" si="0"/>
        <v>8</v>
      </c>
      <c r="C20" s="1225" t="s">
        <v>100</v>
      </c>
      <c r="D20" s="1234">
        <v>2.2659696</v>
      </c>
      <c r="E20" s="1232">
        <v>4</v>
      </c>
      <c r="F20" s="1231">
        <v>0</v>
      </c>
      <c r="G20" s="738">
        <v>4</v>
      </c>
    </row>
    <row r="21" spans="2:7" ht="15.75">
      <c r="B21" s="737">
        <f t="shared" si="0"/>
        <v>9</v>
      </c>
      <c r="C21" s="1225" t="s">
        <v>631</v>
      </c>
      <c r="D21" s="1234">
        <v>0.5664924</v>
      </c>
      <c r="E21" s="1232">
        <v>1</v>
      </c>
      <c r="F21" s="1231">
        <v>0</v>
      </c>
      <c r="G21" s="738">
        <v>1</v>
      </c>
    </row>
    <row r="22" spans="2:7" ht="15.75">
      <c r="B22" s="737">
        <f t="shared" si="0"/>
        <v>10</v>
      </c>
      <c r="C22" s="1225" t="s">
        <v>716</v>
      </c>
      <c r="D22" s="1234">
        <v>0.5664924</v>
      </c>
      <c r="E22" s="1232">
        <v>1</v>
      </c>
      <c r="F22" s="1231">
        <v>0</v>
      </c>
      <c r="G22" s="738">
        <v>1</v>
      </c>
    </row>
    <row r="23" spans="2:7" ht="15.75">
      <c r="B23" s="737">
        <f t="shared" si="0"/>
        <v>11</v>
      </c>
      <c r="C23" s="1225" t="s">
        <v>101</v>
      </c>
      <c r="D23" s="1234">
        <v>4.516</v>
      </c>
      <c r="E23" s="1232">
        <v>4</v>
      </c>
      <c r="F23" s="1231">
        <v>4</v>
      </c>
      <c r="G23" s="738"/>
    </row>
    <row r="24" spans="2:7" ht="15.75">
      <c r="B24" s="737">
        <f t="shared" si="0"/>
        <v>12</v>
      </c>
      <c r="C24" s="1225" t="s">
        <v>584</v>
      </c>
      <c r="D24" s="1234">
        <v>2.258</v>
      </c>
      <c r="E24" s="1232">
        <v>2</v>
      </c>
      <c r="F24" s="1231">
        <v>2</v>
      </c>
      <c r="G24" s="738"/>
    </row>
    <row r="25" spans="2:7" ht="15.75">
      <c r="B25" s="737">
        <f t="shared" si="0"/>
        <v>13</v>
      </c>
      <c r="C25" s="1225" t="s">
        <v>583</v>
      </c>
      <c r="D25" s="1234">
        <v>3.387</v>
      </c>
      <c r="E25" s="1232">
        <v>3</v>
      </c>
      <c r="F25" s="1231">
        <v>3</v>
      </c>
      <c r="G25" s="738"/>
    </row>
    <row r="26" spans="2:7" ht="15.75">
      <c r="B26" s="737">
        <f t="shared" si="0"/>
        <v>14</v>
      </c>
      <c r="C26" s="1225" t="s">
        <v>580</v>
      </c>
      <c r="D26" s="1234">
        <v>2.258</v>
      </c>
      <c r="E26" s="1232">
        <v>2</v>
      </c>
      <c r="F26" s="1231">
        <v>2</v>
      </c>
      <c r="G26" s="738"/>
    </row>
    <row r="27" spans="2:7" ht="15.75">
      <c r="B27" s="737">
        <f t="shared" si="0"/>
        <v>15</v>
      </c>
      <c r="C27" s="1225" t="s">
        <v>632</v>
      </c>
      <c r="D27" s="1234">
        <v>4.516</v>
      </c>
      <c r="E27" s="1232">
        <v>4</v>
      </c>
      <c r="F27" s="1231">
        <v>4</v>
      </c>
      <c r="G27" s="738"/>
    </row>
    <row r="28" spans="2:7" ht="15.75">
      <c r="B28" s="737">
        <f t="shared" si="0"/>
        <v>16</v>
      </c>
      <c r="C28" s="1225" t="s">
        <v>633</v>
      </c>
      <c r="D28" s="1234">
        <v>4.516</v>
      </c>
      <c r="E28" s="1232">
        <v>4</v>
      </c>
      <c r="F28" s="1231">
        <v>4</v>
      </c>
      <c r="G28" s="738"/>
    </row>
    <row r="29" spans="2:7" ht="15.75">
      <c r="B29" s="737">
        <f t="shared" si="0"/>
        <v>17</v>
      </c>
      <c r="C29" s="1225" t="s">
        <v>473</v>
      </c>
      <c r="D29" s="1234">
        <v>3.3909848</v>
      </c>
      <c r="E29" s="1232">
        <v>4</v>
      </c>
      <c r="F29" s="1231">
        <v>2</v>
      </c>
      <c r="G29" s="738">
        <v>2</v>
      </c>
    </row>
    <row r="30" spans="2:7" ht="15.75">
      <c r="B30" s="737">
        <f t="shared" si="0"/>
        <v>18</v>
      </c>
      <c r="C30" s="1225" t="s">
        <v>44</v>
      </c>
      <c r="D30" s="1234">
        <v>2.258</v>
      </c>
      <c r="E30" s="1232">
        <v>2</v>
      </c>
      <c r="F30" s="1231">
        <v>2</v>
      </c>
      <c r="G30" s="738"/>
    </row>
    <row r="31" spans="2:7" ht="15.75">
      <c r="B31" s="737">
        <f t="shared" si="0"/>
        <v>19</v>
      </c>
      <c r="C31" s="1225" t="s">
        <v>418</v>
      </c>
      <c r="D31" s="1234">
        <v>2.2659696</v>
      </c>
      <c r="E31" s="1232">
        <v>4</v>
      </c>
      <c r="F31" s="1231">
        <v>0</v>
      </c>
      <c r="G31" s="738">
        <v>4</v>
      </c>
    </row>
    <row r="32" spans="2:7" ht="15.75">
      <c r="B32" s="737">
        <f t="shared" si="0"/>
        <v>20</v>
      </c>
      <c r="C32" s="1225" t="s">
        <v>600</v>
      </c>
      <c r="D32" s="1234">
        <v>11.29</v>
      </c>
      <c r="E32" s="1232">
        <v>10</v>
      </c>
      <c r="F32" s="1231">
        <v>10</v>
      </c>
      <c r="G32" s="738"/>
    </row>
    <row r="33" spans="2:7" ht="15.75">
      <c r="B33" s="737">
        <f t="shared" si="0"/>
        <v>21</v>
      </c>
      <c r="C33" s="1225" t="s">
        <v>608</v>
      </c>
      <c r="D33" s="1234">
        <v>14.677</v>
      </c>
      <c r="E33" s="1232">
        <v>13</v>
      </c>
      <c r="F33" s="1231">
        <v>13</v>
      </c>
      <c r="G33" s="738"/>
    </row>
    <row r="34" spans="2:7" ht="15.75">
      <c r="B34" s="737">
        <f t="shared" si="0"/>
        <v>22</v>
      </c>
      <c r="C34" s="1225" t="s">
        <v>589</v>
      </c>
      <c r="D34" s="1234">
        <v>18.0799392</v>
      </c>
      <c r="E34" s="1232">
        <v>20</v>
      </c>
      <c r="F34" s="1231">
        <v>12</v>
      </c>
      <c r="G34" s="738">
        <v>8</v>
      </c>
    </row>
    <row r="35" spans="2:7" ht="15.75">
      <c r="B35" s="737">
        <f t="shared" si="0"/>
        <v>23</v>
      </c>
      <c r="C35" s="1225" t="s">
        <v>590</v>
      </c>
      <c r="D35" s="1234">
        <v>10.1769392</v>
      </c>
      <c r="E35" s="1232">
        <v>13</v>
      </c>
      <c r="F35" s="1231">
        <v>5</v>
      </c>
      <c r="G35" s="738">
        <v>8</v>
      </c>
    </row>
    <row r="36" spans="2:7" ht="15.75">
      <c r="B36" s="737">
        <f t="shared" si="0"/>
        <v>24</v>
      </c>
      <c r="C36" s="1225" t="s">
        <v>483</v>
      </c>
      <c r="D36" s="1234">
        <v>1.6954924</v>
      </c>
      <c r="E36" s="1232">
        <v>2</v>
      </c>
      <c r="F36" s="1231">
        <v>1</v>
      </c>
      <c r="G36" s="738">
        <v>1</v>
      </c>
    </row>
    <row r="37" spans="2:7" ht="15.75">
      <c r="B37" s="737">
        <f t="shared" si="0"/>
        <v>25</v>
      </c>
      <c r="C37" s="1225" t="s">
        <v>686</v>
      </c>
      <c r="D37" s="1234">
        <v>38.5135136</v>
      </c>
      <c r="E37" s="1232">
        <v>66</v>
      </c>
      <c r="F37" s="1231">
        <v>2</v>
      </c>
      <c r="G37" s="738">
        <v>64</v>
      </c>
    </row>
    <row r="38" spans="2:7" ht="15.75">
      <c r="B38" s="737">
        <f t="shared" si="0"/>
        <v>26</v>
      </c>
      <c r="C38" s="1225" t="s">
        <v>15</v>
      </c>
      <c r="D38" s="1234">
        <v>6.774</v>
      </c>
      <c r="E38" s="1232">
        <v>6</v>
      </c>
      <c r="F38" s="1231">
        <v>6</v>
      </c>
      <c r="G38" s="738"/>
    </row>
    <row r="39" spans="2:7" ht="15.75">
      <c r="B39" s="737">
        <f t="shared" si="0"/>
        <v>27</v>
      </c>
      <c r="C39" s="1226" t="s">
        <v>393</v>
      </c>
      <c r="D39" s="1234">
        <v>6.211492399999999</v>
      </c>
      <c r="E39" s="1232">
        <v>6</v>
      </c>
      <c r="F39" s="1231">
        <v>5</v>
      </c>
      <c r="G39" s="738">
        <v>1</v>
      </c>
    </row>
    <row r="40" spans="2:7" ht="15.75">
      <c r="B40" s="737">
        <f t="shared" si="0"/>
        <v>28</v>
      </c>
      <c r="C40" s="1225" t="s">
        <v>637</v>
      </c>
      <c r="D40" s="1234">
        <v>2.258</v>
      </c>
      <c r="E40" s="1232">
        <v>6</v>
      </c>
      <c r="F40" s="1231">
        <v>2</v>
      </c>
      <c r="G40" s="738">
        <v>4</v>
      </c>
    </row>
    <row r="41" spans="2:7" ht="15.75">
      <c r="B41" s="737">
        <f t="shared" si="0"/>
        <v>29</v>
      </c>
      <c r="C41" s="1225" t="s">
        <v>394</v>
      </c>
      <c r="D41" s="1234">
        <v>9.035984800000001</v>
      </c>
      <c r="E41" s="1232">
        <v>9</v>
      </c>
      <c r="F41" s="1231">
        <v>7</v>
      </c>
      <c r="G41" s="738">
        <v>2</v>
      </c>
    </row>
    <row r="42" spans="2:7" ht="15.75">
      <c r="B42" s="737">
        <f t="shared" si="0"/>
        <v>30</v>
      </c>
      <c r="C42" s="1225" t="s">
        <v>576</v>
      </c>
      <c r="D42" s="1234">
        <v>2.258</v>
      </c>
      <c r="E42" s="1232">
        <v>2</v>
      </c>
      <c r="F42" s="1231">
        <v>2</v>
      </c>
      <c r="G42" s="738"/>
    </row>
    <row r="43" spans="2:7" ht="15.75">
      <c r="B43" s="737">
        <f t="shared" si="0"/>
        <v>31</v>
      </c>
      <c r="C43" s="1225" t="s">
        <v>395</v>
      </c>
      <c r="D43" s="1234">
        <v>0</v>
      </c>
      <c r="E43" s="1232">
        <v>3</v>
      </c>
      <c r="F43" s="1231">
        <v>0</v>
      </c>
      <c r="G43" s="738">
        <v>3</v>
      </c>
    </row>
    <row r="44" spans="2:7" ht="15.75">
      <c r="B44" s="737">
        <f t="shared" si="0"/>
        <v>32</v>
      </c>
      <c r="C44" s="1225" t="s">
        <v>573</v>
      </c>
      <c r="D44" s="1234">
        <v>5.645</v>
      </c>
      <c r="E44" s="1232">
        <v>5</v>
      </c>
      <c r="F44" s="1231">
        <v>5</v>
      </c>
      <c r="G44" s="738"/>
    </row>
    <row r="45" spans="2:7" ht="15.75">
      <c r="B45" s="737">
        <f t="shared" si="0"/>
        <v>33</v>
      </c>
      <c r="C45" s="1225" t="s">
        <v>396</v>
      </c>
      <c r="D45" s="1234">
        <v>0</v>
      </c>
      <c r="E45" s="1232">
        <v>2</v>
      </c>
      <c r="F45" s="1231">
        <v>0</v>
      </c>
      <c r="G45" s="738">
        <v>2</v>
      </c>
    </row>
    <row r="46" spans="2:7" ht="15.75">
      <c r="B46" s="737">
        <f t="shared" si="0"/>
        <v>34</v>
      </c>
      <c r="C46" s="1225" t="s">
        <v>451</v>
      </c>
      <c r="D46" s="1234">
        <v>11.29</v>
      </c>
      <c r="E46" s="1232">
        <v>10</v>
      </c>
      <c r="F46" s="1231">
        <v>10</v>
      </c>
      <c r="G46" s="738"/>
    </row>
    <row r="47" spans="2:7" ht="15.75">
      <c r="B47" s="737">
        <f t="shared" si="0"/>
        <v>35</v>
      </c>
      <c r="C47" s="1225" t="s">
        <v>442</v>
      </c>
      <c r="D47" s="1234">
        <v>0</v>
      </c>
      <c r="E47" s="1232">
        <v>3</v>
      </c>
      <c r="F47" s="1231">
        <v>0</v>
      </c>
      <c r="G47" s="738">
        <v>3</v>
      </c>
    </row>
    <row r="48" spans="2:7" ht="15.75">
      <c r="B48" s="737">
        <f t="shared" si="0"/>
        <v>36</v>
      </c>
      <c r="C48" s="1225" t="s">
        <v>639</v>
      </c>
      <c r="D48" s="1234">
        <v>1.129</v>
      </c>
      <c r="E48" s="1232">
        <v>1</v>
      </c>
      <c r="F48" s="1231">
        <v>1</v>
      </c>
      <c r="G48" s="738"/>
    </row>
    <row r="49" spans="2:7" ht="15.75">
      <c r="B49" s="737">
        <f t="shared" si="0"/>
        <v>37</v>
      </c>
      <c r="C49" s="1225" t="s">
        <v>640</v>
      </c>
      <c r="D49" s="1234">
        <v>1.129</v>
      </c>
      <c r="E49" s="1232">
        <v>1</v>
      </c>
      <c r="F49" s="1231">
        <v>1</v>
      </c>
      <c r="G49" s="738"/>
    </row>
    <row r="50" spans="2:7" ht="15.75">
      <c r="B50" s="737">
        <f t="shared" si="0"/>
        <v>38</v>
      </c>
      <c r="C50" s="1225" t="s">
        <v>641</v>
      </c>
      <c r="D50" s="1234">
        <v>2.258</v>
      </c>
      <c r="E50" s="1232">
        <v>2</v>
      </c>
      <c r="F50" s="1231">
        <v>2</v>
      </c>
      <c r="G50" s="738"/>
    </row>
    <row r="51" spans="2:7" ht="15.75">
      <c r="B51" s="737">
        <f t="shared" si="0"/>
        <v>39</v>
      </c>
      <c r="C51" s="1225" t="s">
        <v>642</v>
      </c>
      <c r="D51" s="1234">
        <v>2.258</v>
      </c>
      <c r="E51" s="1232">
        <v>2</v>
      </c>
      <c r="F51" s="1231">
        <v>2</v>
      </c>
      <c r="G51" s="738"/>
    </row>
    <row r="52" spans="2:7" ht="15.75">
      <c r="B52" s="737">
        <f t="shared" si="0"/>
        <v>40</v>
      </c>
      <c r="C52" s="1225" t="s">
        <v>453</v>
      </c>
      <c r="D52" s="1234">
        <v>0</v>
      </c>
      <c r="E52" s="1232">
        <v>3</v>
      </c>
      <c r="F52" s="1231">
        <v>0</v>
      </c>
      <c r="G52" s="738">
        <v>3</v>
      </c>
    </row>
    <row r="53" spans="2:7" ht="15.75">
      <c r="B53" s="737">
        <f t="shared" si="0"/>
        <v>41</v>
      </c>
      <c r="C53" s="1225" t="s">
        <v>481</v>
      </c>
      <c r="D53" s="1234">
        <v>2.832462</v>
      </c>
      <c r="E53" s="1232">
        <v>5</v>
      </c>
      <c r="F53" s="1231">
        <v>0</v>
      </c>
      <c r="G53" s="738">
        <v>5</v>
      </c>
    </row>
    <row r="54" spans="2:7" ht="15.75">
      <c r="B54" s="737">
        <f t="shared" si="0"/>
        <v>42</v>
      </c>
      <c r="C54" s="1225" t="s">
        <v>610</v>
      </c>
      <c r="D54" s="1234">
        <v>5.645</v>
      </c>
      <c r="E54" s="1232">
        <v>5</v>
      </c>
      <c r="F54" s="1231">
        <v>5</v>
      </c>
      <c r="G54" s="738"/>
    </row>
    <row r="55" spans="2:7" ht="15.75">
      <c r="B55" s="737">
        <f t="shared" si="0"/>
        <v>43</v>
      </c>
      <c r="C55" s="1225" t="s">
        <v>613</v>
      </c>
      <c r="D55" s="1234">
        <v>7.9030000000000005</v>
      </c>
      <c r="E55" s="1232">
        <v>7</v>
      </c>
      <c r="F55" s="1231">
        <v>7</v>
      </c>
      <c r="G55" s="738"/>
    </row>
    <row r="56" spans="2:7" ht="15.75">
      <c r="B56" s="737">
        <f t="shared" si="0"/>
        <v>44</v>
      </c>
      <c r="C56" s="1225" t="s">
        <v>525</v>
      </c>
      <c r="D56" s="1234">
        <v>3.387</v>
      </c>
      <c r="E56" s="1232">
        <v>3</v>
      </c>
      <c r="F56" s="1231">
        <v>3</v>
      </c>
      <c r="G56" s="738"/>
    </row>
    <row r="57" spans="2:7" ht="15.75">
      <c r="B57" s="737">
        <f t="shared" si="0"/>
        <v>45</v>
      </c>
      <c r="C57" s="1225" t="s">
        <v>556</v>
      </c>
      <c r="D57" s="1234">
        <v>11.29</v>
      </c>
      <c r="E57" s="1232">
        <v>10</v>
      </c>
      <c r="F57" s="1231">
        <v>10</v>
      </c>
      <c r="G57" s="738"/>
    </row>
    <row r="58" spans="2:7" ht="15.75">
      <c r="B58" s="737">
        <f t="shared" si="0"/>
        <v>46</v>
      </c>
      <c r="C58" s="1227" t="s">
        <v>514</v>
      </c>
      <c r="D58" s="1234">
        <v>9.032</v>
      </c>
      <c r="E58" s="1232">
        <v>10</v>
      </c>
      <c r="F58" s="1231">
        <v>8</v>
      </c>
      <c r="G58" s="738">
        <v>2</v>
      </c>
    </row>
    <row r="59" spans="2:7" ht="15.75">
      <c r="B59" s="737">
        <f t="shared" si="0"/>
        <v>47</v>
      </c>
      <c r="C59" s="1227" t="s">
        <v>512</v>
      </c>
      <c r="D59" s="1234">
        <v>10.1649848</v>
      </c>
      <c r="E59" s="1232">
        <v>10</v>
      </c>
      <c r="F59" s="1231">
        <v>8</v>
      </c>
      <c r="G59" s="738">
        <v>2</v>
      </c>
    </row>
    <row r="60" spans="2:7" ht="15.75">
      <c r="B60" s="737">
        <f t="shared" si="0"/>
        <v>48</v>
      </c>
      <c r="C60" s="1227" t="s">
        <v>513</v>
      </c>
      <c r="D60" s="1234">
        <v>10.1649848</v>
      </c>
      <c r="E60" s="1232">
        <v>10</v>
      </c>
      <c r="F60" s="1231">
        <v>8</v>
      </c>
      <c r="G60" s="738">
        <v>2</v>
      </c>
    </row>
    <row r="61" spans="2:7" ht="15.75">
      <c r="B61" s="737">
        <f t="shared" si="0"/>
        <v>49</v>
      </c>
      <c r="C61" s="1228" t="s">
        <v>518</v>
      </c>
      <c r="D61" s="1234">
        <v>22.599923999999998</v>
      </c>
      <c r="E61" s="1232">
        <v>25</v>
      </c>
      <c r="F61" s="1231">
        <v>15</v>
      </c>
      <c r="G61" s="738">
        <v>10</v>
      </c>
    </row>
    <row r="62" spans="2:7" ht="15.75">
      <c r="B62" s="737">
        <f t="shared" si="0"/>
        <v>50</v>
      </c>
      <c r="C62" s="1227" t="s">
        <v>511</v>
      </c>
      <c r="D62" s="1234">
        <v>9.0399696</v>
      </c>
      <c r="E62" s="1232">
        <v>10</v>
      </c>
      <c r="F62" s="1231">
        <v>6</v>
      </c>
      <c r="G62" s="738">
        <v>4</v>
      </c>
    </row>
    <row r="63" spans="2:7" ht="15.75">
      <c r="B63" s="737">
        <f t="shared" si="0"/>
        <v>51</v>
      </c>
      <c r="C63" s="1227" t="s">
        <v>504</v>
      </c>
      <c r="D63" s="1234">
        <v>19.212924</v>
      </c>
      <c r="E63" s="1232">
        <v>22</v>
      </c>
      <c r="F63" s="1231">
        <v>12</v>
      </c>
      <c r="G63" s="738">
        <v>10</v>
      </c>
    </row>
    <row r="64" spans="2:7" ht="15.75">
      <c r="B64" s="737">
        <f t="shared" si="0"/>
        <v>52</v>
      </c>
      <c r="C64" s="1228" t="s">
        <v>657</v>
      </c>
      <c r="D64" s="1234">
        <v>5.645</v>
      </c>
      <c r="E64" s="1232">
        <v>5</v>
      </c>
      <c r="F64" s="1231">
        <v>5</v>
      </c>
      <c r="G64" s="738"/>
    </row>
    <row r="65" spans="2:7" ht="15.75">
      <c r="B65" s="737">
        <f t="shared" si="0"/>
        <v>53</v>
      </c>
      <c r="C65" s="1228" t="s">
        <v>653</v>
      </c>
      <c r="D65" s="1234">
        <v>5.645</v>
      </c>
      <c r="E65" s="1232">
        <v>9</v>
      </c>
      <c r="F65" s="1231">
        <v>5</v>
      </c>
      <c r="G65" s="738">
        <v>4</v>
      </c>
    </row>
    <row r="66" spans="2:7" ht="15.75">
      <c r="B66" s="737">
        <f t="shared" si="0"/>
        <v>54</v>
      </c>
      <c r="C66" s="1228" t="s">
        <v>519</v>
      </c>
      <c r="D66" s="1234">
        <v>7.9069848</v>
      </c>
      <c r="E66" s="1232">
        <v>8</v>
      </c>
      <c r="F66" s="1231">
        <v>6</v>
      </c>
      <c r="G66" s="738">
        <v>2</v>
      </c>
    </row>
    <row r="67" spans="2:7" ht="15.75">
      <c r="B67" s="737">
        <f t="shared" si="0"/>
        <v>55</v>
      </c>
      <c r="C67" s="1225" t="s">
        <v>660</v>
      </c>
      <c r="D67" s="1234">
        <v>8.477462</v>
      </c>
      <c r="E67" s="1232">
        <v>10</v>
      </c>
      <c r="F67" s="1231">
        <v>5</v>
      </c>
      <c r="G67" s="738">
        <v>5</v>
      </c>
    </row>
    <row r="68" spans="2:7" ht="15.75">
      <c r="B68" s="737">
        <f t="shared" si="0"/>
        <v>56</v>
      </c>
      <c r="C68" s="1228" t="s">
        <v>567</v>
      </c>
      <c r="D68" s="1234">
        <v>9.032</v>
      </c>
      <c r="E68" s="1232">
        <v>8</v>
      </c>
      <c r="F68" s="1231">
        <v>8</v>
      </c>
      <c r="G68" s="738"/>
    </row>
    <row r="69" spans="2:7" ht="15.75">
      <c r="B69" s="737">
        <f t="shared" si="0"/>
        <v>57</v>
      </c>
      <c r="C69" s="1225" t="s">
        <v>663</v>
      </c>
      <c r="D69" s="1234">
        <v>11.29</v>
      </c>
      <c r="E69" s="1232">
        <v>19</v>
      </c>
      <c r="F69" s="1231">
        <v>10</v>
      </c>
      <c r="G69" s="738">
        <v>9</v>
      </c>
    </row>
    <row r="70" spans="2:7" ht="15.75">
      <c r="B70" s="737">
        <f t="shared" si="0"/>
        <v>58</v>
      </c>
      <c r="C70" s="1225" t="s">
        <v>677</v>
      </c>
      <c r="D70" s="1234">
        <v>4.516</v>
      </c>
      <c r="E70" s="1232">
        <v>4</v>
      </c>
      <c r="F70" s="1231">
        <v>4</v>
      </c>
      <c r="G70" s="738"/>
    </row>
    <row r="71" spans="2:7" ht="15.75">
      <c r="B71" s="737">
        <f t="shared" si="0"/>
        <v>59</v>
      </c>
      <c r="C71" s="1225" t="s">
        <v>485</v>
      </c>
      <c r="D71" s="1234">
        <v>3.387</v>
      </c>
      <c r="E71" s="1232">
        <v>6</v>
      </c>
      <c r="F71" s="1231">
        <v>3</v>
      </c>
      <c r="G71" s="738">
        <v>3</v>
      </c>
    </row>
    <row r="72" spans="2:7" ht="15.75">
      <c r="B72" s="737">
        <f t="shared" si="0"/>
        <v>60</v>
      </c>
      <c r="C72" s="1227" t="s">
        <v>521</v>
      </c>
      <c r="D72" s="1234">
        <v>11.29</v>
      </c>
      <c r="E72" s="1232">
        <v>10</v>
      </c>
      <c r="F72" s="1231">
        <v>10</v>
      </c>
      <c r="G72" s="738"/>
    </row>
    <row r="73" spans="2:7" ht="15.75">
      <c r="B73" s="737">
        <f t="shared" si="0"/>
        <v>61</v>
      </c>
      <c r="C73" s="1225" t="s">
        <v>486</v>
      </c>
      <c r="D73" s="1234">
        <v>2.258</v>
      </c>
      <c r="E73" s="1232">
        <v>5</v>
      </c>
      <c r="F73" s="1231">
        <v>2</v>
      </c>
      <c r="G73" s="738">
        <v>3</v>
      </c>
    </row>
    <row r="74" spans="2:7" ht="15.75">
      <c r="B74" s="737">
        <f t="shared" si="0"/>
        <v>62</v>
      </c>
      <c r="C74" s="1225" t="s">
        <v>487</v>
      </c>
      <c r="D74" s="1234">
        <v>6.7779848</v>
      </c>
      <c r="E74" s="1232">
        <v>7</v>
      </c>
      <c r="F74" s="1231">
        <v>5</v>
      </c>
      <c r="G74" s="738">
        <v>2</v>
      </c>
    </row>
    <row r="75" spans="2:7" ht="15.75">
      <c r="B75" s="737">
        <f t="shared" si="0"/>
        <v>63</v>
      </c>
      <c r="C75" s="1225" t="s">
        <v>488</v>
      </c>
      <c r="D75" s="1234">
        <v>3.387</v>
      </c>
      <c r="E75" s="1232">
        <v>3</v>
      </c>
      <c r="F75" s="1231">
        <v>3</v>
      </c>
      <c r="G75" s="738"/>
    </row>
    <row r="76" spans="2:7" ht="15.75">
      <c r="B76" s="737">
        <f t="shared" si="0"/>
        <v>64</v>
      </c>
      <c r="C76" s="1225" t="s">
        <v>492</v>
      </c>
      <c r="D76" s="1234">
        <v>10.161</v>
      </c>
      <c r="E76" s="1232">
        <v>9</v>
      </c>
      <c r="F76" s="1231">
        <v>9</v>
      </c>
      <c r="G76" s="738"/>
    </row>
    <row r="77" spans="2:7" ht="15.75">
      <c r="B77" s="737">
        <f t="shared" si="0"/>
        <v>65</v>
      </c>
      <c r="C77" s="1225" t="s">
        <v>546</v>
      </c>
      <c r="D77" s="1234">
        <v>11.29</v>
      </c>
      <c r="E77" s="1232">
        <v>10</v>
      </c>
      <c r="F77" s="1231">
        <v>10</v>
      </c>
      <c r="G77" s="738"/>
    </row>
    <row r="78" spans="2:7" ht="15.75">
      <c r="B78" s="737">
        <f aca="true" t="shared" si="1" ref="B78:B104">B77+1</f>
        <v>66</v>
      </c>
      <c r="C78" s="1225" t="s">
        <v>494</v>
      </c>
      <c r="D78" s="1234">
        <v>6.774</v>
      </c>
      <c r="E78" s="1232">
        <v>14</v>
      </c>
      <c r="F78" s="1231">
        <v>6</v>
      </c>
      <c r="G78" s="738">
        <v>8</v>
      </c>
    </row>
    <row r="79" spans="2:7" ht="15.75">
      <c r="B79" s="737">
        <f t="shared" si="1"/>
        <v>67</v>
      </c>
      <c r="C79" s="1225" t="s">
        <v>569</v>
      </c>
      <c r="D79" s="1234">
        <v>8.477462</v>
      </c>
      <c r="E79" s="1232">
        <v>10</v>
      </c>
      <c r="F79" s="1231">
        <v>5</v>
      </c>
      <c r="G79" s="738">
        <v>5</v>
      </c>
    </row>
    <row r="80" spans="2:7" ht="15.75">
      <c r="B80" s="737">
        <f t="shared" si="1"/>
        <v>68</v>
      </c>
      <c r="C80" s="1225" t="s">
        <v>655</v>
      </c>
      <c r="D80" s="1234">
        <v>3.387</v>
      </c>
      <c r="E80" s="1232">
        <v>3</v>
      </c>
      <c r="F80" s="1231">
        <v>3</v>
      </c>
      <c r="G80" s="738"/>
    </row>
    <row r="81" spans="2:7" ht="15.75">
      <c r="B81" s="737">
        <f t="shared" si="1"/>
        <v>69</v>
      </c>
      <c r="C81" s="1225" t="s">
        <v>659</v>
      </c>
      <c r="D81" s="1234">
        <v>4.516</v>
      </c>
      <c r="E81" s="1232">
        <v>4</v>
      </c>
      <c r="F81" s="1231">
        <v>4</v>
      </c>
      <c r="G81" s="738"/>
    </row>
    <row r="82" spans="2:7" ht="15.75">
      <c r="B82" s="737">
        <f t="shared" si="1"/>
        <v>70</v>
      </c>
      <c r="C82" s="1225" t="s">
        <v>656</v>
      </c>
      <c r="D82" s="1234">
        <v>5.645</v>
      </c>
      <c r="E82" s="1232">
        <v>10</v>
      </c>
      <c r="F82" s="1231">
        <v>5</v>
      </c>
      <c r="G82" s="738">
        <v>5</v>
      </c>
    </row>
    <row r="83" spans="2:7" ht="15.75">
      <c r="B83" s="737">
        <f t="shared" si="1"/>
        <v>71</v>
      </c>
      <c r="C83" s="1225" t="s">
        <v>728</v>
      </c>
      <c r="D83" s="1234">
        <v>11.329848</v>
      </c>
      <c r="E83" s="1232">
        <v>20</v>
      </c>
      <c r="F83" s="1231">
        <v>0</v>
      </c>
      <c r="G83" s="738">
        <v>20</v>
      </c>
    </row>
    <row r="84" spans="2:7" ht="15.75">
      <c r="B84" s="737">
        <f t="shared" si="1"/>
        <v>72</v>
      </c>
      <c r="C84" s="1225" t="s">
        <v>466</v>
      </c>
      <c r="D84" s="1234">
        <v>3.3949696</v>
      </c>
      <c r="E84" s="1232">
        <v>5</v>
      </c>
      <c r="F84" s="1231">
        <v>1</v>
      </c>
      <c r="G84" s="738">
        <v>4</v>
      </c>
    </row>
    <row r="85" spans="2:7" ht="15.75">
      <c r="B85" s="737">
        <f t="shared" si="1"/>
        <v>73</v>
      </c>
      <c r="C85" s="1225" t="s">
        <v>428</v>
      </c>
      <c r="D85" s="1234">
        <v>4.516</v>
      </c>
      <c r="E85" s="1232">
        <v>4</v>
      </c>
      <c r="F85" s="1231">
        <v>4</v>
      </c>
      <c r="G85" s="738"/>
    </row>
    <row r="86" spans="2:7" ht="15.75">
      <c r="B86" s="737">
        <f t="shared" si="1"/>
        <v>74</v>
      </c>
      <c r="C86" s="1225" t="s">
        <v>526</v>
      </c>
      <c r="D86" s="1234">
        <v>9.032</v>
      </c>
      <c r="E86" s="1232">
        <v>48</v>
      </c>
      <c r="F86" s="1231">
        <v>8</v>
      </c>
      <c r="G86" s="738">
        <v>40</v>
      </c>
    </row>
    <row r="87" spans="2:7" ht="15.75">
      <c r="B87" s="737">
        <f t="shared" si="1"/>
        <v>75</v>
      </c>
      <c r="C87" s="1225" t="s">
        <v>531</v>
      </c>
      <c r="D87" s="1234">
        <v>14.677</v>
      </c>
      <c r="E87" s="1232">
        <v>13</v>
      </c>
      <c r="F87" s="1231">
        <v>13</v>
      </c>
      <c r="G87" s="738"/>
    </row>
    <row r="88" spans="2:7" ht="15.75">
      <c r="B88" s="737">
        <f t="shared" si="1"/>
        <v>76</v>
      </c>
      <c r="C88" s="1225" t="s">
        <v>532</v>
      </c>
      <c r="D88" s="1234">
        <v>9.032</v>
      </c>
      <c r="E88" s="1232">
        <v>20</v>
      </c>
      <c r="F88" s="1231">
        <v>8</v>
      </c>
      <c r="G88" s="738">
        <v>12</v>
      </c>
    </row>
    <row r="89" spans="2:7" ht="15.75">
      <c r="B89" s="737">
        <f t="shared" si="1"/>
        <v>77</v>
      </c>
      <c r="C89" s="1225" t="s">
        <v>534</v>
      </c>
      <c r="D89" s="1234">
        <v>12.419</v>
      </c>
      <c r="E89" s="1232">
        <v>11</v>
      </c>
      <c r="F89" s="1231">
        <v>11</v>
      </c>
      <c r="G89" s="738"/>
    </row>
    <row r="90" spans="2:7" ht="15.75">
      <c r="B90" s="737">
        <f t="shared" si="1"/>
        <v>78</v>
      </c>
      <c r="C90" s="1225" t="s">
        <v>535</v>
      </c>
      <c r="D90" s="1234">
        <v>9.032</v>
      </c>
      <c r="E90" s="1232">
        <v>48</v>
      </c>
      <c r="F90" s="1231">
        <v>8</v>
      </c>
      <c r="G90" s="738">
        <v>40</v>
      </c>
    </row>
    <row r="91" spans="2:7" ht="15.75">
      <c r="B91" s="737">
        <f t="shared" si="1"/>
        <v>79</v>
      </c>
      <c r="C91" s="1225" t="s">
        <v>460</v>
      </c>
      <c r="D91" s="1234">
        <v>18.0958784</v>
      </c>
      <c r="E91" s="1232">
        <v>24</v>
      </c>
      <c r="F91" s="1231">
        <v>8</v>
      </c>
      <c r="G91" s="738">
        <v>16</v>
      </c>
    </row>
    <row r="92" spans="2:7" ht="15.75">
      <c r="B92" s="737">
        <f t="shared" si="1"/>
        <v>80</v>
      </c>
      <c r="C92" s="1228" t="s">
        <v>508</v>
      </c>
      <c r="D92" s="1234">
        <v>25.986924</v>
      </c>
      <c r="E92" s="1232">
        <v>28</v>
      </c>
      <c r="F92" s="1231">
        <v>18</v>
      </c>
      <c r="G92" s="738">
        <v>10</v>
      </c>
    </row>
    <row r="93" spans="2:7" ht="15.75">
      <c r="B93" s="737">
        <f t="shared" si="1"/>
        <v>81</v>
      </c>
      <c r="C93" s="1227" t="s">
        <v>507</v>
      </c>
      <c r="D93" s="1234">
        <v>10.161</v>
      </c>
      <c r="E93" s="1232">
        <v>9</v>
      </c>
      <c r="F93" s="1231">
        <v>9</v>
      </c>
      <c r="G93" s="738"/>
    </row>
    <row r="94" spans="2:7" ht="15.75">
      <c r="B94" s="737">
        <f t="shared" si="1"/>
        <v>82</v>
      </c>
      <c r="C94" s="1227" t="s">
        <v>509</v>
      </c>
      <c r="D94" s="1234">
        <v>13.548</v>
      </c>
      <c r="E94" s="1232">
        <v>12</v>
      </c>
      <c r="F94" s="1231">
        <v>12</v>
      </c>
      <c r="G94" s="738"/>
    </row>
    <row r="95" spans="2:7" ht="15.75">
      <c r="B95" s="737">
        <f t="shared" si="1"/>
        <v>83</v>
      </c>
      <c r="C95" s="1225" t="s">
        <v>554</v>
      </c>
      <c r="D95" s="1234">
        <v>11.29</v>
      </c>
      <c r="E95" s="1232">
        <v>10</v>
      </c>
      <c r="F95" s="1231">
        <v>10</v>
      </c>
      <c r="G95" s="738"/>
    </row>
    <row r="96" spans="2:7" ht="15.75">
      <c r="B96" s="737">
        <f t="shared" si="1"/>
        <v>84</v>
      </c>
      <c r="C96" s="1225" t="s">
        <v>552</v>
      </c>
      <c r="D96" s="1234">
        <v>7.9030000000000005</v>
      </c>
      <c r="E96" s="1232">
        <v>7</v>
      </c>
      <c r="F96" s="1231">
        <v>7</v>
      </c>
      <c r="G96" s="738"/>
    </row>
    <row r="97" spans="2:7" ht="15.75">
      <c r="B97" s="737">
        <f t="shared" si="1"/>
        <v>85</v>
      </c>
      <c r="C97" s="1225" t="s">
        <v>542</v>
      </c>
      <c r="D97" s="1234">
        <v>15.806000000000001</v>
      </c>
      <c r="E97" s="1232">
        <v>54</v>
      </c>
      <c r="F97" s="1231">
        <v>14</v>
      </c>
      <c r="G97" s="738">
        <v>40</v>
      </c>
    </row>
    <row r="98" spans="2:7" ht="15.75">
      <c r="B98" s="737">
        <f t="shared" si="1"/>
        <v>86</v>
      </c>
      <c r="C98" s="1225" t="s">
        <v>555</v>
      </c>
      <c r="D98" s="1234">
        <v>11.29</v>
      </c>
      <c r="E98" s="1232">
        <v>10</v>
      </c>
      <c r="F98" s="1231">
        <v>10</v>
      </c>
      <c r="G98" s="738"/>
    </row>
    <row r="99" spans="2:7" ht="15.75">
      <c r="B99" s="737">
        <f t="shared" si="1"/>
        <v>87</v>
      </c>
      <c r="C99" s="1225" t="s">
        <v>543</v>
      </c>
      <c r="D99" s="1234">
        <v>9.032</v>
      </c>
      <c r="E99" s="1232">
        <v>42</v>
      </c>
      <c r="F99" s="1231">
        <v>8</v>
      </c>
      <c r="G99" s="738">
        <v>34</v>
      </c>
    </row>
    <row r="100" spans="2:7" ht="15.75">
      <c r="B100" s="737">
        <f t="shared" si="1"/>
        <v>88</v>
      </c>
      <c r="C100" s="1225" t="s">
        <v>544</v>
      </c>
      <c r="D100" s="1234">
        <v>14.677</v>
      </c>
      <c r="E100" s="1232">
        <v>13</v>
      </c>
      <c r="F100" s="1231">
        <v>13</v>
      </c>
      <c r="G100" s="738"/>
    </row>
    <row r="101" spans="2:7" ht="15.75">
      <c r="B101" s="737">
        <f t="shared" si="1"/>
        <v>89</v>
      </c>
      <c r="C101" s="1225" t="s">
        <v>541</v>
      </c>
      <c r="D101" s="1234">
        <v>29.354</v>
      </c>
      <c r="E101" s="1232">
        <v>49</v>
      </c>
      <c r="F101" s="1231">
        <v>26</v>
      </c>
      <c r="G101" s="738">
        <v>23</v>
      </c>
    </row>
    <row r="102" spans="2:7" ht="15.75">
      <c r="B102" s="737">
        <f t="shared" si="1"/>
        <v>90</v>
      </c>
      <c r="C102" s="1229" t="s">
        <v>380</v>
      </c>
      <c r="D102" s="1234">
        <v>2.8244924</v>
      </c>
      <c r="E102" s="1232">
        <v>3</v>
      </c>
      <c r="F102" s="1231">
        <v>2</v>
      </c>
      <c r="G102" s="738">
        <v>1</v>
      </c>
    </row>
    <row r="103" spans="2:7" ht="15.75">
      <c r="B103" s="737">
        <f t="shared" si="1"/>
        <v>91</v>
      </c>
      <c r="C103" s="1225" t="s">
        <v>536</v>
      </c>
      <c r="D103" s="1234">
        <v>5.645</v>
      </c>
      <c r="E103" s="1232">
        <v>5</v>
      </c>
      <c r="F103" s="1231">
        <v>5</v>
      </c>
      <c r="G103" s="738"/>
    </row>
    <row r="104" spans="2:7" ht="16.5" thickBot="1">
      <c r="B104" s="737">
        <f t="shared" si="1"/>
        <v>92</v>
      </c>
      <c r="C104" s="1225" t="s">
        <v>539</v>
      </c>
      <c r="D104" s="1234">
        <v>7.9030000000000005</v>
      </c>
      <c r="E104" s="1232">
        <v>47</v>
      </c>
      <c r="F104" s="1231">
        <v>7</v>
      </c>
      <c r="G104" s="738">
        <v>40</v>
      </c>
    </row>
    <row r="105" spans="2:7" ht="16.5" thickBot="1">
      <c r="B105" s="90"/>
      <c r="C105" s="1230" t="s">
        <v>51</v>
      </c>
      <c r="D105" s="1235">
        <v>712.8373280000002</v>
      </c>
      <c r="E105" s="1233">
        <v>1019</v>
      </c>
      <c r="F105" s="739">
        <v>521</v>
      </c>
      <c r="G105" s="739">
        <v>498</v>
      </c>
    </row>
    <row r="106" spans="2:7" ht="15.75" hidden="1">
      <c r="B106" s="89"/>
      <c r="C106" s="1444"/>
      <c r="D106" s="11"/>
      <c r="E106" s="11"/>
      <c r="F106" s="1445" t="e">
        <f>G105+#REF!+#REF!</f>
        <v>#REF!</v>
      </c>
      <c r="G106" s="1444"/>
    </row>
    <row r="107" spans="2:7" ht="15.75">
      <c r="B107" s="64"/>
      <c r="C107" s="87"/>
      <c r="D107" s="87"/>
      <c r="E107" s="87"/>
      <c r="F107" s="1446"/>
      <c r="G107" s="87"/>
    </row>
    <row r="108" spans="2:8" ht="15.75">
      <c r="B108" s="7"/>
      <c r="C108" s="11" t="s">
        <v>73</v>
      </c>
      <c r="D108" s="11"/>
      <c r="E108" s="11"/>
      <c r="F108" s="12" t="s">
        <v>356</v>
      </c>
      <c r="G108" s="43"/>
      <c r="H108" s="112"/>
    </row>
    <row r="109" spans="2:8" ht="15.75">
      <c r="B109" s="7"/>
      <c r="C109" s="11"/>
      <c r="D109" s="11"/>
      <c r="E109" s="11"/>
      <c r="F109" s="12"/>
      <c r="G109" s="43"/>
      <c r="H109" s="112"/>
    </row>
  </sheetData>
  <sheetProtection/>
  <autoFilter ref="B12:G105"/>
  <mergeCells count="5">
    <mergeCell ref="D10:D11"/>
    <mergeCell ref="B7:G7"/>
    <mergeCell ref="B8:G8"/>
    <mergeCell ref="B10:B11"/>
    <mergeCell ref="C10:C11"/>
  </mergeCell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110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87" sqref="E87"/>
    </sheetView>
  </sheetViews>
  <sheetFormatPr defaultColWidth="9.00390625" defaultRowHeight="12.75"/>
  <cols>
    <col min="1" max="1" width="5.25390625" style="16" customWidth="1"/>
    <col min="2" max="2" width="19.75390625" style="0" customWidth="1"/>
    <col min="3" max="3" width="7.125" style="0" customWidth="1"/>
    <col min="4" max="4" width="7.375" style="3" customWidth="1"/>
    <col min="5" max="5" width="10.625" style="3" customWidth="1"/>
    <col min="6" max="6" width="19.875" style="3" hidden="1" customWidth="1"/>
    <col min="7" max="7" width="7.375" style="3" customWidth="1"/>
    <col min="8" max="8" width="7.125" style="3" customWidth="1"/>
    <col min="9" max="9" width="9.875" style="3" customWidth="1"/>
    <col min="10" max="10" width="20.125" style="3" hidden="1" customWidth="1"/>
    <col min="11" max="12" width="7.00390625" style="3" customWidth="1"/>
    <col min="13" max="13" width="10.125" style="3" customWidth="1"/>
    <col min="14" max="14" width="24.125" style="3" hidden="1" customWidth="1"/>
    <col min="15" max="15" width="6.375" style="3" customWidth="1"/>
    <col min="16" max="16" width="6.00390625" style="3" customWidth="1"/>
    <col min="17" max="17" width="9.75390625" style="3" customWidth="1"/>
    <col min="18" max="18" width="19.00390625" style="3" hidden="1" customWidth="1"/>
    <col min="19" max="19" width="9.125" style="3" customWidth="1"/>
    <col min="20" max="20" width="12.25390625" style="0" bestFit="1" customWidth="1"/>
  </cols>
  <sheetData>
    <row r="1" spans="1:17" ht="15.75" customHeight="1">
      <c r="A1" s="18"/>
      <c r="B1" s="7"/>
      <c r="C1" s="1255"/>
      <c r="D1" s="1447"/>
      <c r="E1" s="1447"/>
      <c r="F1" s="1447"/>
      <c r="G1" s="1447"/>
      <c r="H1" s="1447"/>
      <c r="I1" s="1447"/>
      <c r="J1" s="1447"/>
      <c r="K1" s="1447"/>
      <c r="L1" s="1447"/>
      <c r="M1" s="1447"/>
      <c r="N1" s="1447"/>
      <c r="O1" s="576"/>
      <c r="P1" s="576"/>
      <c r="Q1" s="576" t="s">
        <v>832</v>
      </c>
    </row>
    <row r="2" spans="1:17" ht="15.75" customHeight="1">
      <c r="A2" s="18"/>
      <c r="B2" s="7"/>
      <c r="C2" s="1256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576"/>
      <c r="P2" s="576"/>
      <c r="Q2" s="576" t="s">
        <v>53</v>
      </c>
    </row>
    <row r="3" spans="1:17" ht="15.75">
      <c r="A3" s="18"/>
      <c r="B3" s="7"/>
      <c r="C3" s="1256"/>
      <c r="D3" s="1447"/>
      <c r="E3" s="1447"/>
      <c r="F3" s="1447"/>
      <c r="G3" s="1447"/>
      <c r="H3" s="1447"/>
      <c r="I3" s="1447"/>
      <c r="J3" s="1447"/>
      <c r="K3" s="1447"/>
      <c r="L3" s="1447"/>
      <c r="M3" s="1447"/>
      <c r="N3" s="1447"/>
      <c r="O3" s="576"/>
      <c r="P3" s="576"/>
      <c r="Q3" s="576" t="s">
        <v>35</v>
      </c>
    </row>
    <row r="4" spans="1:17" ht="15.75">
      <c r="A4" s="18"/>
      <c r="B4" s="7"/>
      <c r="C4" s="1256"/>
      <c r="D4" s="1447"/>
      <c r="E4" s="1447"/>
      <c r="F4" s="1447"/>
      <c r="G4" s="1447"/>
      <c r="H4" s="1447"/>
      <c r="I4" s="1447"/>
      <c r="J4" s="1447"/>
      <c r="K4" s="1447"/>
      <c r="L4" s="1447"/>
      <c r="M4" s="1447"/>
      <c r="N4" s="1447"/>
      <c r="O4" s="576"/>
      <c r="P4" s="576"/>
      <c r="Q4" s="576" t="s">
        <v>758</v>
      </c>
    </row>
    <row r="5" spans="1:17" ht="8.25" customHeight="1">
      <c r="A5" s="18"/>
      <c r="B5" s="7"/>
      <c r="C5" s="76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910"/>
      <c r="P5" s="910"/>
      <c r="Q5" s="910"/>
    </row>
    <row r="6" spans="1:17" ht="15.75">
      <c r="A6" s="1757" t="s">
        <v>238</v>
      </c>
      <c r="B6" s="1757"/>
      <c r="C6" s="1757"/>
      <c r="D6" s="1757"/>
      <c r="E6" s="1757"/>
      <c r="F6" s="1757"/>
      <c r="G6" s="1757"/>
      <c r="H6" s="1757"/>
      <c r="I6" s="1757"/>
      <c r="J6" s="1757"/>
      <c r="K6" s="1757"/>
      <c r="L6" s="1757"/>
      <c r="M6" s="1757"/>
      <c r="N6" s="1757"/>
      <c r="O6" s="1757"/>
      <c r="P6" s="1757"/>
      <c r="Q6" s="1470"/>
    </row>
    <row r="7" spans="1:17" ht="15">
      <c r="A7" s="1758" t="s">
        <v>261</v>
      </c>
      <c r="B7" s="1758"/>
      <c r="C7" s="1758"/>
      <c r="D7" s="1758"/>
      <c r="E7" s="1758"/>
      <c r="F7" s="1758"/>
      <c r="G7" s="1758"/>
      <c r="H7" s="1758"/>
      <c r="I7" s="1758"/>
      <c r="J7" s="1758"/>
      <c r="K7" s="1758"/>
      <c r="L7" s="1758"/>
      <c r="M7" s="1758"/>
      <c r="N7" s="1758"/>
      <c r="O7" s="1758"/>
      <c r="P7" s="1758"/>
      <c r="Q7" s="717"/>
    </row>
    <row r="8" spans="1:17" ht="15">
      <c r="A8" s="1758" t="s">
        <v>866</v>
      </c>
      <c r="B8" s="1758"/>
      <c r="C8" s="1758"/>
      <c r="D8" s="1758"/>
      <c r="E8" s="1758"/>
      <c r="F8" s="1758"/>
      <c r="G8" s="1758"/>
      <c r="H8" s="1758"/>
      <c r="I8" s="1758"/>
      <c r="J8" s="1758"/>
      <c r="K8" s="1758"/>
      <c r="L8" s="1758"/>
      <c r="M8" s="1758"/>
      <c r="N8" s="1758"/>
      <c r="O8" s="1758"/>
      <c r="P8" s="1758"/>
      <c r="Q8" s="717"/>
    </row>
    <row r="9" spans="1:14" ht="6" customHeight="1" thickBot="1">
      <c r="A9" s="18"/>
      <c r="B9" s="7"/>
      <c r="C9" s="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8" ht="30" customHeight="1" thickBot="1">
      <c r="A10" s="77" t="s">
        <v>36</v>
      </c>
      <c r="B10" s="1759" t="s">
        <v>3</v>
      </c>
      <c r="C10" s="1770" t="s">
        <v>262</v>
      </c>
      <c r="D10" s="1771"/>
      <c r="E10" s="1772"/>
      <c r="F10" s="1761" t="s">
        <v>107</v>
      </c>
      <c r="G10" s="1763" t="s">
        <v>263</v>
      </c>
      <c r="H10" s="1764"/>
      <c r="I10" s="1765"/>
      <c r="J10" s="1761" t="s">
        <v>107</v>
      </c>
      <c r="K10" s="1763" t="s">
        <v>264</v>
      </c>
      <c r="L10" s="1764"/>
      <c r="M10" s="1765"/>
      <c r="N10" s="1768" t="s">
        <v>107</v>
      </c>
      <c r="O10" s="1763" t="s">
        <v>265</v>
      </c>
      <c r="P10" s="1764"/>
      <c r="Q10" s="1765"/>
      <c r="R10" s="1766" t="s">
        <v>107</v>
      </c>
    </row>
    <row r="11" spans="1:18" ht="17.25" customHeight="1" thickBot="1">
      <c r="A11" s="79" t="s">
        <v>258</v>
      </c>
      <c r="B11" s="1760"/>
      <c r="C11" s="1251" t="s">
        <v>43</v>
      </c>
      <c r="D11" s="1449" t="s">
        <v>108</v>
      </c>
      <c r="E11" s="1450" t="s">
        <v>268</v>
      </c>
      <c r="F11" s="1762"/>
      <c r="G11" s="1155" t="s">
        <v>43</v>
      </c>
      <c r="H11" s="1449" t="s">
        <v>108</v>
      </c>
      <c r="I11" s="1450" t="s">
        <v>360</v>
      </c>
      <c r="J11" s="1762"/>
      <c r="K11" s="1155" t="s">
        <v>43</v>
      </c>
      <c r="L11" s="1449" t="s">
        <v>108</v>
      </c>
      <c r="M11" s="1450" t="s">
        <v>268</v>
      </c>
      <c r="N11" s="1775"/>
      <c r="O11" s="1155" t="s">
        <v>43</v>
      </c>
      <c r="P11" s="1449" t="s">
        <v>108</v>
      </c>
      <c r="Q11" s="1450" t="s">
        <v>360</v>
      </c>
      <c r="R11" s="1767"/>
    </row>
    <row r="12" spans="1:18" ht="9" customHeight="1" thickBot="1">
      <c r="A12" s="31"/>
      <c r="B12" s="1258"/>
      <c r="C12" s="1259"/>
      <c r="D12" s="1451"/>
      <c r="E12" s="1452"/>
      <c r="F12" s="943"/>
      <c r="G12" s="1086"/>
      <c r="H12" s="1451"/>
      <c r="I12" s="1452"/>
      <c r="J12" s="943"/>
      <c r="K12" s="1086"/>
      <c r="L12" s="1451"/>
      <c r="M12" s="1452"/>
      <c r="N12" s="1471"/>
      <c r="O12" s="1471"/>
      <c r="P12" s="1451"/>
      <c r="Q12" s="1472"/>
      <c r="R12" s="1473"/>
    </row>
    <row r="13" spans="1:18" ht="12.75">
      <c r="A13" s="836">
        <v>1</v>
      </c>
      <c r="B13" s="634" t="s">
        <v>722</v>
      </c>
      <c r="C13" s="635">
        <v>4</v>
      </c>
      <c r="D13" s="636">
        <v>8</v>
      </c>
      <c r="E13" s="740">
        <v>19.83128</v>
      </c>
      <c r="F13" s="637" t="s">
        <v>495</v>
      </c>
      <c r="G13" s="581"/>
      <c r="H13" s="636"/>
      <c r="I13" s="740">
        <v>0</v>
      </c>
      <c r="J13" s="637"/>
      <c r="K13" s="581">
        <v>2</v>
      </c>
      <c r="L13" s="636">
        <v>3</v>
      </c>
      <c r="M13" s="740">
        <v>15.93</v>
      </c>
      <c r="N13" s="638"/>
      <c r="O13" s="639"/>
      <c r="P13" s="636"/>
      <c r="Q13" s="1257">
        <v>0</v>
      </c>
      <c r="R13" s="638"/>
    </row>
    <row r="14" spans="1:18" ht="12.75">
      <c r="A14" s="836">
        <f>A13+1</f>
        <v>2</v>
      </c>
      <c r="B14" s="634" t="s">
        <v>708</v>
      </c>
      <c r="C14" s="635">
        <v>2</v>
      </c>
      <c r="D14" s="636">
        <v>6</v>
      </c>
      <c r="E14" s="740">
        <v>14.87346</v>
      </c>
      <c r="F14" s="637" t="s">
        <v>497</v>
      </c>
      <c r="G14" s="581">
        <v>3</v>
      </c>
      <c r="H14" s="636">
        <v>5</v>
      </c>
      <c r="I14" s="740">
        <v>13.953175</v>
      </c>
      <c r="J14" s="637" t="s">
        <v>709</v>
      </c>
      <c r="K14" s="581"/>
      <c r="L14" s="636"/>
      <c r="M14" s="740">
        <v>0</v>
      </c>
      <c r="N14" s="638"/>
      <c r="O14" s="639"/>
      <c r="P14" s="636"/>
      <c r="Q14" s="741">
        <v>0</v>
      </c>
      <c r="R14" s="638"/>
    </row>
    <row r="15" spans="1:18" ht="12" customHeight="1">
      <c r="A15" s="836">
        <f aca="true" t="shared" si="0" ref="A15:A86">A14+1</f>
        <v>3</v>
      </c>
      <c r="B15" s="634" t="s">
        <v>711</v>
      </c>
      <c r="C15" s="635"/>
      <c r="D15" s="636"/>
      <c r="E15" s="740">
        <v>0</v>
      </c>
      <c r="F15" s="637"/>
      <c r="G15" s="581"/>
      <c r="H15" s="636"/>
      <c r="I15" s="740">
        <v>0</v>
      </c>
      <c r="J15" s="637"/>
      <c r="K15" s="581"/>
      <c r="L15" s="636"/>
      <c r="M15" s="740">
        <v>0</v>
      </c>
      <c r="N15" s="638"/>
      <c r="O15" s="639"/>
      <c r="P15" s="636"/>
      <c r="Q15" s="741">
        <v>0</v>
      </c>
      <c r="R15" s="638"/>
    </row>
    <row r="16" spans="1:18" ht="12.75">
      <c r="A16" s="836">
        <f t="shared" si="0"/>
        <v>4</v>
      </c>
      <c r="B16" s="634" t="s">
        <v>630</v>
      </c>
      <c r="C16" s="635"/>
      <c r="D16" s="636"/>
      <c r="E16" s="740">
        <v>0</v>
      </c>
      <c r="F16" s="637"/>
      <c r="G16" s="581">
        <v>3</v>
      </c>
      <c r="H16" s="636">
        <v>20</v>
      </c>
      <c r="I16" s="740">
        <v>55.8127</v>
      </c>
      <c r="J16" s="637" t="s">
        <v>714</v>
      </c>
      <c r="K16" s="581"/>
      <c r="L16" s="636"/>
      <c r="M16" s="740">
        <v>0</v>
      </c>
      <c r="N16" s="638"/>
      <c r="O16" s="639"/>
      <c r="P16" s="636"/>
      <c r="Q16" s="741">
        <v>0</v>
      </c>
      <c r="R16" s="638"/>
    </row>
    <row r="17" spans="1:18" ht="12.75">
      <c r="A17" s="836">
        <f t="shared" si="0"/>
        <v>5</v>
      </c>
      <c r="B17" s="634" t="s">
        <v>631</v>
      </c>
      <c r="C17" s="635">
        <v>5</v>
      </c>
      <c r="D17" s="636">
        <v>7.5</v>
      </c>
      <c r="E17" s="740">
        <v>18.591825</v>
      </c>
      <c r="F17" s="637" t="s">
        <v>715</v>
      </c>
      <c r="G17" s="581"/>
      <c r="H17" s="636"/>
      <c r="I17" s="740">
        <v>0</v>
      </c>
      <c r="J17" s="637"/>
      <c r="K17" s="581"/>
      <c r="L17" s="636"/>
      <c r="M17" s="740">
        <v>0</v>
      </c>
      <c r="N17" s="638"/>
      <c r="O17" s="639"/>
      <c r="P17" s="636"/>
      <c r="Q17" s="741">
        <v>0</v>
      </c>
      <c r="R17" s="638"/>
    </row>
    <row r="18" spans="1:18" ht="12.75">
      <c r="A18" s="836">
        <f t="shared" si="0"/>
        <v>6</v>
      </c>
      <c r="B18" s="634" t="s">
        <v>716</v>
      </c>
      <c r="C18" s="635">
        <v>5</v>
      </c>
      <c r="D18" s="636">
        <v>1.7</v>
      </c>
      <c r="E18" s="740">
        <v>4.214147</v>
      </c>
      <c r="F18" s="637"/>
      <c r="G18" s="581">
        <v>3</v>
      </c>
      <c r="H18" s="636">
        <v>9</v>
      </c>
      <c r="I18" s="740">
        <v>25.115715</v>
      </c>
      <c r="J18" s="637" t="s">
        <v>718</v>
      </c>
      <c r="K18" s="581"/>
      <c r="L18" s="636"/>
      <c r="M18" s="740">
        <v>0</v>
      </c>
      <c r="N18" s="638"/>
      <c r="O18" s="639"/>
      <c r="P18" s="636"/>
      <c r="Q18" s="741">
        <v>0</v>
      </c>
      <c r="R18" s="638"/>
    </row>
    <row r="19" spans="1:18" ht="12.75">
      <c r="A19" s="836">
        <f t="shared" si="0"/>
        <v>7</v>
      </c>
      <c r="B19" s="634" t="s">
        <v>702</v>
      </c>
      <c r="C19" s="635"/>
      <c r="D19" s="636"/>
      <c r="E19" s="740">
        <v>0</v>
      </c>
      <c r="F19" s="640"/>
      <c r="G19" s="581"/>
      <c r="H19" s="636"/>
      <c r="I19" s="740">
        <v>0</v>
      </c>
      <c r="J19" s="640"/>
      <c r="K19" s="581">
        <v>1</v>
      </c>
      <c r="L19" s="636">
        <v>2.5</v>
      </c>
      <c r="M19" s="740">
        <v>13.274999999999999</v>
      </c>
      <c r="N19" s="638" t="s">
        <v>893</v>
      </c>
      <c r="O19" s="639"/>
      <c r="P19" s="636"/>
      <c r="Q19" s="741">
        <v>0</v>
      </c>
      <c r="R19" s="638"/>
    </row>
    <row r="20" spans="1:18" ht="12.75">
      <c r="A20" s="836">
        <f t="shared" si="0"/>
        <v>8</v>
      </c>
      <c r="B20" s="80" t="s">
        <v>584</v>
      </c>
      <c r="C20" s="635">
        <v>4</v>
      </c>
      <c r="D20" s="636">
        <v>10</v>
      </c>
      <c r="E20" s="740">
        <v>24.789099999999998</v>
      </c>
      <c r="F20" s="637" t="s">
        <v>588</v>
      </c>
      <c r="G20" s="581"/>
      <c r="H20" s="636"/>
      <c r="I20" s="740">
        <v>0</v>
      </c>
      <c r="J20" s="637"/>
      <c r="K20" s="581">
        <v>4</v>
      </c>
      <c r="L20" s="636">
        <v>10</v>
      </c>
      <c r="M20" s="740">
        <v>53.099999999999994</v>
      </c>
      <c r="N20" s="638" t="s">
        <v>578</v>
      </c>
      <c r="O20" s="639"/>
      <c r="P20" s="636"/>
      <c r="Q20" s="741">
        <v>0</v>
      </c>
      <c r="R20" s="638"/>
    </row>
    <row r="21" spans="1:18" ht="12.75">
      <c r="A21" s="836">
        <f t="shared" si="0"/>
        <v>9</v>
      </c>
      <c r="B21" s="80" t="s">
        <v>583</v>
      </c>
      <c r="C21" s="635">
        <v>4</v>
      </c>
      <c r="D21" s="636">
        <v>10</v>
      </c>
      <c r="E21" s="740">
        <v>24.789099999999998</v>
      </c>
      <c r="F21" s="637" t="s">
        <v>436</v>
      </c>
      <c r="G21" s="635"/>
      <c r="H21" s="636"/>
      <c r="I21" s="740">
        <v>0</v>
      </c>
      <c r="J21" s="637"/>
      <c r="K21" s="581">
        <v>5</v>
      </c>
      <c r="L21" s="636">
        <v>10</v>
      </c>
      <c r="M21" s="740">
        <v>53.099999999999994</v>
      </c>
      <c r="N21" s="638" t="s">
        <v>578</v>
      </c>
      <c r="O21" s="639"/>
      <c r="P21" s="636"/>
      <c r="Q21" s="741">
        <v>0</v>
      </c>
      <c r="R21" s="638"/>
    </row>
    <row r="22" spans="1:18" ht="12.75">
      <c r="A22" s="836">
        <f t="shared" si="0"/>
        <v>10</v>
      </c>
      <c r="B22" s="80" t="s">
        <v>580</v>
      </c>
      <c r="C22" s="635"/>
      <c r="D22" s="636"/>
      <c r="E22" s="740">
        <v>0</v>
      </c>
      <c r="F22" s="637"/>
      <c r="G22" s="581">
        <v>1</v>
      </c>
      <c r="H22" s="636">
        <v>2</v>
      </c>
      <c r="I22" s="740">
        <v>5.58127</v>
      </c>
      <c r="J22" s="637" t="s">
        <v>581</v>
      </c>
      <c r="K22" s="581">
        <v>10</v>
      </c>
      <c r="L22" s="636">
        <v>20</v>
      </c>
      <c r="M22" s="740">
        <v>106.19999999999999</v>
      </c>
      <c r="N22" s="638" t="s">
        <v>578</v>
      </c>
      <c r="O22" s="639"/>
      <c r="P22" s="636"/>
      <c r="Q22" s="741">
        <v>0</v>
      </c>
      <c r="R22" s="898"/>
    </row>
    <row r="23" spans="1:18" ht="12.75">
      <c r="A23" s="836">
        <f t="shared" si="0"/>
        <v>11</v>
      </c>
      <c r="B23" s="80" t="s">
        <v>475</v>
      </c>
      <c r="C23" s="635">
        <v>7</v>
      </c>
      <c r="D23" s="636">
        <v>21</v>
      </c>
      <c r="E23" s="740">
        <v>52.05711</v>
      </c>
      <c r="F23" s="637" t="s">
        <v>476</v>
      </c>
      <c r="G23" s="581"/>
      <c r="H23" s="636"/>
      <c r="I23" s="740">
        <v>0</v>
      </c>
      <c r="J23" s="640"/>
      <c r="K23" s="581"/>
      <c r="L23" s="636"/>
      <c r="M23" s="740">
        <v>0</v>
      </c>
      <c r="N23" s="638"/>
      <c r="O23" s="639"/>
      <c r="P23" s="636"/>
      <c r="Q23" s="741">
        <v>0</v>
      </c>
      <c r="R23" s="638"/>
    </row>
    <row r="24" spans="1:18" ht="12.75">
      <c r="A24" s="836">
        <f t="shared" si="0"/>
        <v>12</v>
      </c>
      <c r="B24" s="80" t="s">
        <v>479</v>
      </c>
      <c r="C24" s="641">
        <v>1</v>
      </c>
      <c r="D24" s="642">
        <v>0.5</v>
      </c>
      <c r="E24" s="740">
        <v>1.239455</v>
      </c>
      <c r="F24" s="570" t="s">
        <v>480</v>
      </c>
      <c r="G24" s="573"/>
      <c r="H24" s="642"/>
      <c r="I24" s="740">
        <v>0</v>
      </c>
      <c r="J24" s="640"/>
      <c r="K24" s="573"/>
      <c r="L24" s="642"/>
      <c r="M24" s="740">
        <v>0</v>
      </c>
      <c r="N24" s="644"/>
      <c r="O24" s="645"/>
      <c r="P24" s="642"/>
      <c r="Q24" s="741">
        <v>0</v>
      </c>
      <c r="R24" s="644"/>
    </row>
    <row r="25" spans="1:18" ht="12.75">
      <c r="A25" s="836">
        <f t="shared" si="0"/>
        <v>13</v>
      </c>
      <c r="B25" s="80" t="s">
        <v>700</v>
      </c>
      <c r="C25" s="641">
        <v>1</v>
      </c>
      <c r="D25" s="642">
        <v>1</v>
      </c>
      <c r="E25" s="740">
        <v>2.47891</v>
      </c>
      <c r="F25" s="570"/>
      <c r="G25" s="573"/>
      <c r="H25" s="642"/>
      <c r="I25" s="740">
        <v>0</v>
      </c>
      <c r="J25" s="637"/>
      <c r="K25" s="573"/>
      <c r="L25" s="642"/>
      <c r="M25" s="740">
        <v>0</v>
      </c>
      <c r="N25" s="644"/>
      <c r="O25" s="645"/>
      <c r="P25" s="642"/>
      <c r="Q25" s="741">
        <v>0</v>
      </c>
      <c r="R25" s="644"/>
    </row>
    <row r="26" spans="1:18" ht="12.75">
      <c r="A26" s="836">
        <f t="shared" si="0"/>
        <v>14</v>
      </c>
      <c r="B26" s="80" t="s">
        <v>699</v>
      </c>
      <c r="C26" s="641"/>
      <c r="D26" s="642"/>
      <c r="E26" s="740">
        <v>0</v>
      </c>
      <c r="F26" s="646"/>
      <c r="G26" s="573">
        <v>2</v>
      </c>
      <c r="H26" s="642">
        <v>2</v>
      </c>
      <c r="I26" s="740">
        <v>5.58127</v>
      </c>
      <c r="J26" s="646" t="s">
        <v>684</v>
      </c>
      <c r="K26" s="573"/>
      <c r="L26" s="642"/>
      <c r="M26" s="740">
        <v>0</v>
      </c>
      <c r="N26" s="644"/>
      <c r="O26" s="645"/>
      <c r="P26" s="642"/>
      <c r="Q26" s="741">
        <v>0</v>
      </c>
      <c r="R26" s="644"/>
    </row>
    <row r="27" spans="1:18" ht="12.75">
      <c r="A27" s="836">
        <f t="shared" si="0"/>
        <v>15</v>
      </c>
      <c r="B27" s="80" t="s">
        <v>632</v>
      </c>
      <c r="C27" s="641"/>
      <c r="D27" s="642"/>
      <c r="E27" s="740">
        <v>0</v>
      </c>
      <c r="F27" s="570"/>
      <c r="G27" s="573">
        <v>2</v>
      </c>
      <c r="H27" s="642">
        <v>2</v>
      </c>
      <c r="I27" s="740">
        <v>5.58127</v>
      </c>
      <c r="J27" s="570" t="s">
        <v>684</v>
      </c>
      <c r="K27" s="573"/>
      <c r="L27" s="642"/>
      <c r="M27" s="740">
        <v>0</v>
      </c>
      <c r="N27" s="644"/>
      <c r="O27" s="645"/>
      <c r="P27" s="642"/>
      <c r="Q27" s="741">
        <v>0</v>
      </c>
      <c r="R27" s="644"/>
    </row>
    <row r="28" spans="1:18" ht="12.75">
      <c r="A28" s="836">
        <f t="shared" si="0"/>
        <v>16</v>
      </c>
      <c r="B28" s="80" t="s">
        <v>633</v>
      </c>
      <c r="C28" s="641"/>
      <c r="D28" s="642"/>
      <c r="E28" s="740">
        <v>0</v>
      </c>
      <c r="F28" s="570"/>
      <c r="G28" s="573">
        <v>2</v>
      </c>
      <c r="H28" s="642">
        <v>2</v>
      </c>
      <c r="I28" s="740">
        <v>5.58127</v>
      </c>
      <c r="J28" s="570" t="s">
        <v>698</v>
      </c>
      <c r="K28" s="573"/>
      <c r="L28" s="642"/>
      <c r="M28" s="740">
        <v>0</v>
      </c>
      <c r="N28" s="644"/>
      <c r="O28" s="645"/>
      <c r="P28" s="642"/>
      <c r="Q28" s="741">
        <v>0</v>
      </c>
      <c r="R28" s="642"/>
    </row>
    <row r="29" spans="1:18" ht="12.75">
      <c r="A29" s="836">
        <f t="shared" si="0"/>
        <v>17</v>
      </c>
      <c r="B29" s="80" t="s">
        <v>695</v>
      </c>
      <c r="C29" s="641"/>
      <c r="D29" s="642"/>
      <c r="E29" s="740">
        <v>0</v>
      </c>
      <c r="F29" s="570"/>
      <c r="G29" s="573"/>
      <c r="H29" s="642"/>
      <c r="I29" s="740">
        <v>0</v>
      </c>
      <c r="J29" s="570"/>
      <c r="K29" s="573">
        <v>3</v>
      </c>
      <c r="L29" s="642">
        <v>3</v>
      </c>
      <c r="M29" s="740">
        <v>15.93</v>
      </c>
      <c r="N29" s="644" t="s">
        <v>696</v>
      </c>
      <c r="O29" s="645"/>
      <c r="P29" s="642"/>
      <c r="Q29" s="741">
        <v>0</v>
      </c>
      <c r="R29" s="644"/>
    </row>
    <row r="30" spans="1:18" ht="12.75">
      <c r="A30" s="836">
        <f t="shared" si="0"/>
        <v>18</v>
      </c>
      <c r="B30" s="80" t="s">
        <v>719</v>
      </c>
      <c r="C30" s="641"/>
      <c r="D30" s="642"/>
      <c r="E30" s="740">
        <v>0</v>
      </c>
      <c r="F30" s="570"/>
      <c r="G30" s="573"/>
      <c r="H30" s="642"/>
      <c r="I30" s="740">
        <v>0</v>
      </c>
      <c r="J30" s="570"/>
      <c r="K30" s="573">
        <v>6</v>
      </c>
      <c r="L30" s="642">
        <v>8.4</v>
      </c>
      <c r="M30" s="740">
        <v>44.604</v>
      </c>
      <c r="N30" s="644" t="s">
        <v>721</v>
      </c>
      <c r="O30" s="645"/>
      <c r="P30" s="642"/>
      <c r="Q30" s="741">
        <v>0</v>
      </c>
      <c r="R30" s="644"/>
    </row>
    <row r="31" spans="1:18" ht="12.75">
      <c r="A31" s="836">
        <f>A30+1</f>
        <v>19</v>
      </c>
      <c r="B31" s="80" t="s">
        <v>440</v>
      </c>
      <c r="C31" s="641">
        <v>2</v>
      </c>
      <c r="D31" s="642">
        <v>3.65</v>
      </c>
      <c r="E31" s="740">
        <v>9.048021499999999</v>
      </c>
      <c r="F31" s="570"/>
      <c r="G31" s="573"/>
      <c r="H31" s="642"/>
      <c r="I31" s="740">
        <v>0</v>
      </c>
      <c r="J31" s="570"/>
      <c r="K31" s="573"/>
      <c r="L31" s="642"/>
      <c r="M31" s="740">
        <v>0</v>
      </c>
      <c r="N31" s="644"/>
      <c r="O31" s="645"/>
      <c r="P31" s="642"/>
      <c r="Q31" s="741">
        <v>0</v>
      </c>
      <c r="R31" s="644"/>
    </row>
    <row r="32" spans="1:18" ht="12.75">
      <c r="A32" s="836">
        <f t="shared" si="0"/>
        <v>20</v>
      </c>
      <c r="B32" s="80" t="s">
        <v>437</v>
      </c>
      <c r="C32" s="641"/>
      <c r="D32" s="642"/>
      <c r="E32" s="740">
        <v>0</v>
      </c>
      <c r="F32" s="646"/>
      <c r="G32" s="573"/>
      <c r="H32" s="642"/>
      <c r="I32" s="740">
        <v>0</v>
      </c>
      <c r="J32" s="570"/>
      <c r="K32" s="573">
        <v>1</v>
      </c>
      <c r="L32" s="642">
        <v>2.5</v>
      </c>
      <c r="M32" s="740">
        <v>13.274999999999999</v>
      </c>
      <c r="N32" s="644" t="s">
        <v>747</v>
      </c>
      <c r="O32" s="645"/>
      <c r="P32" s="642"/>
      <c r="Q32" s="741">
        <v>0</v>
      </c>
      <c r="R32" s="644"/>
    </row>
    <row r="33" spans="1:18" ht="12.75">
      <c r="A33" s="836">
        <f t="shared" si="0"/>
        <v>21</v>
      </c>
      <c r="B33" s="80" t="s">
        <v>431</v>
      </c>
      <c r="C33" s="641">
        <v>3</v>
      </c>
      <c r="D33" s="642">
        <v>0.7</v>
      </c>
      <c r="E33" s="740">
        <v>1.735237</v>
      </c>
      <c r="F33" s="570" t="s">
        <v>436</v>
      </c>
      <c r="G33" s="573"/>
      <c r="H33" s="642"/>
      <c r="I33" s="740">
        <v>0</v>
      </c>
      <c r="J33" s="570"/>
      <c r="K33" s="573"/>
      <c r="L33" s="642"/>
      <c r="M33" s="740">
        <v>0</v>
      </c>
      <c r="N33" s="644"/>
      <c r="O33" s="645"/>
      <c r="P33" s="642"/>
      <c r="Q33" s="741">
        <v>0</v>
      </c>
      <c r="R33" s="644"/>
    </row>
    <row r="34" spans="1:18" ht="12.75">
      <c r="A34" s="836">
        <f t="shared" si="0"/>
        <v>22</v>
      </c>
      <c r="B34" s="80" t="s">
        <v>429</v>
      </c>
      <c r="C34" s="641">
        <v>1</v>
      </c>
      <c r="D34" s="642">
        <v>1.3</v>
      </c>
      <c r="E34" s="740">
        <v>3.222583</v>
      </c>
      <c r="F34" s="570" t="s">
        <v>430</v>
      </c>
      <c r="G34" s="573"/>
      <c r="H34" s="642"/>
      <c r="I34" s="740">
        <v>0</v>
      </c>
      <c r="J34" s="570"/>
      <c r="K34" s="573"/>
      <c r="L34" s="642"/>
      <c r="M34" s="740">
        <v>0</v>
      </c>
      <c r="N34" s="644"/>
      <c r="O34" s="645"/>
      <c r="P34" s="642"/>
      <c r="Q34" s="741">
        <v>0</v>
      </c>
      <c r="R34" s="644"/>
    </row>
    <row r="35" spans="1:18" ht="12.75">
      <c r="A35" s="836">
        <f t="shared" si="0"/>
        <v>23</v>
      </c>
      <c r="B35" s="80" t="s">
        <v>418</v>
      </c>
      <c r="C35" s="641"/>
      <c r="D35" s="642"/>
      <c r="E35" s="740">
        <v>0</v>
      </c>
      <c r="F35" s="570"/>
      <c r="G35" s="573">
        <v>1</v>
      </c>
      <c r="H35" s="642">
        <v>3.5</v>
      </c>
      <c r="I35" s="740">
        <v>9.767222499999999</v>
      </c>
      <c r="J35" s="570" t="s">
        <v>391</v>
      </c>
      <c r="K35" s="573">
        <v>1</v>
      </c>
      <c r="L35" s="642">
        <v>2.5</v>
      </c>
      <c r="M35" s="740">
        <v>13.274999999999999</v>
      </c>
      <c r="N35" s="644" t="s">
        <v>750</v>
      </c>
      <c r="O35" s="645"/>
      <c r="P35" s="642"/>
      <c r="Q35" s="741">
        <v>0</v>
      </c>
      <c r="R35" s="644"/>
    </row>
    <row r="36" spans="1:18" ht="12.75">
      <c r="A36" s="836">
        <f t="shared" si="0"/>
        <v>24</v>
      </c>
      <c r="B36" s="80" t="s">
        <v>46</v>
      </c>
      <c r="C36" s="641">
        <v>1</v>
      </c>
      <c r="D36" s="642">
        <v>1.3</v>
      </c>
      <c r="E36" s="740">
        <v>3.222583</v>
      </c>
      <c r="F36" s="570"/>
      <c r="G36" s="573"/>
      <c r="H36" s="642"/>
      <c r="I36" s="740">
        <v>0</v>
      </c>
      <c r="J36" s="570"/>
      <c r="K36" s="573">
        <v>1</v>
      </c>
      <c r="L36" s="642">
        <v>2.5</v>
      </c>
      <c r="M36" s="740">
        <v>13.274999999999999</v>
      </c>
      <c r="N36" s="644" t="s">
        <v>415</v>
      </c>
      <c r="O36" s="645"/>
      <c r="P36" s="642"/>
      <c r="Q36" s="741">
        <v>0</v>
      </c>
      <c r="R36" s="644"/>
    </row>
    <row r="37" spans="1:18" ht="12.75">
      <c r="A37" s="836">
        <f t="shared" si="0"/>
        <v>25</v>
      </c>
      <c r="B37" s="80" t="s">
        <v>600</v>
      </c>
      <c r="C37" s="641">
        <v>2</v>
      </c>
      <c r="D37" s="642">
        <v>2</v>
      </c>
      <c r="E37" s="740">
        <v>4.95782</v>
      </c>
      <c r="F37" s="570" t="s">
        <v>603</v>
      </c>
      <c r="G37" s="573">
        <v>4</v>
      </c>
      <c r="H37" s="642">
        <v>5</v>
      </c>
      <c r="I37" s="740">
        <v>13.953175</v>
      </c>
      <c r="J37" s="637" t="s">
        <v>495</v>
      </c>
      <c r="K37" s="573"/>
      <c r="L37" s="642"/>
      <c r="M37" s="740">
        <v>0</v>
      </c>
      <c r="N37" s="644"/>
      <c r="O37" s="645"/>
      <c r="P37" s="642"/>
      <c r="Q37" s="741">
        <v>0</v>
      </c>
      <c r="R37" s="644"/>
    </row>
    <row r="38" spans="1:18" ht="12.75">
      <c r="A38" s="836">
        <f t="shared" si="0"/>
        <v>26</v>
      </c>
      <c r="B38" s="80" t="s">
        <v>608</v>
      </c>
      <c r="C38" s="641"/>
      <c r="D38" s="642"/>
      <c r="E38" s="740">
        <v>0</v>
      </c>
      <c r="F38" s="570"/>
      <c r="G38" s="573"/>
      <c r="H38" s="642"/>
      <c r="I38" s="740">
        <v>0</v>
      </c>
      <c r="J38" s="637"/>
      <c r="K38" s="573">
        <v>1</v>
      </c>
      <c r="L38" s="642">
        <v>2.5</v>
      </c>
      <c r="M38" s="740">
        <v>13.274999999999999</v>
      </c>
      <c r="N38" s="644" t="s">
        <v>767</v>
      </c>
      <c r="O38" s="645"/>
      <c r="P38" s="642"/>
      <c r="Q38" s="741">
        <v>0</v>
      </c>
      <c r="R38" s="644"/>
    </row>
    <row r="39" spans="1:18" ht="12.75">
      <c r="A39" s="836">
        <f t="shared" si="0"/>
        <v>27</v>
      </c>
      <c r="B39" s="80" t="s">
        <v>592</v>
      </c>
      <c r="C39" s="641"/>
      <c r="D39" s="642"/>
      <c r="E39" s="740">
        <v>0</v>
      </c>
      <c r="F39" s="570"/>
      <c r="G39" s="573">
        <v>4</v>
      </c>
      <c r="H39" s="642">
        <v>20</v>
      </c>
      <c r="I39" s="740">
        <v>55.8127</v>
      </c>
      <c r="J39" s="637" t="s">
        <v>597</v>
      </c>
      <c r="K39" s="573"/>
      <c r="L39" s="642"/>
      <c r="M39" s="740">
        <v>0</v>
      </c>
      <c r="N39" s="644"/>
      <c r="O39" s="645"/>
      <c r="P39" s="642"/>
      <c r="Q39" s="741">
        <v>0</v>
      </c>
      <c r="R39" s="647"/>
    </row>
    <row r="40" spans="1:18" ht="12.75">
      <c r="A40" s="836">
        <f t="shared" si="0"/>
        <v>28</v>
      </c>
      <c r="B40" s="80" t="s">
        <v>692</v>
      </c>
      <c r="C40" s="641"/>
      <c r="D40" s="642"/>
      <c r="E40" s="740">
        <v>0</v>
      </c>
      <c r="F40" s="570"/>
      <c r="G40" s="573">
        <v>1</v>
      </c>
      <c r="H40" s="642">
        <v>2</v>
      </c>
      <c r="I40" s="740">
        <v>5.58127</v>
      </c>
      <c r="J40" s="570" t="s">
        <v>684</v>
      </c>
      <c r="K40" s="573"/>
      <c r="L40" s="642"/>
      <c r="M40" s="740">
        <v>0</v>
      </c>
      <c r="N40" s="644"/>
      <c r="O40" s="645"/>
      <c r="P40" s="642"/>
      <c r="Q40" s="741">
        <v>0</v>
      </c>
      <c r="R40" s="644"/>
    </row>
    <row r="41" spans="1:18" ht="15.75" customHeight="1">
      <c r="A41" s="836">
        <f t="shared" si="0"/>
        <v>29</v>
      </c>
      <c r="B41" s="80" t="s">
        <v>743</v>
      </c>
      <c r="C41" s="641"/>
      <c r="D41" s="642"/>
      <c r="E41" s="740">
        <v>0</v>
      </c>
      <c r="F41" s="570"/>
      <c r="G41" s="573">
        <v>1</v>
      </c>
      <c r="H41" s="642"/>
      <c r="I41" s="740">
        <v>0</v>
      </c>
      <c r="J41" s="570"/>
      <c r="K41" s="573"/>
      <c r="L41" s="642"/>
      <c r="M41" s="740">
        <v>0</v>
      </c>
      <c r="N41" s="644"/>
      <c r="O41" s="645"/>
      <c r="P41" s="642"/>
      <c r="Q41" s="741">
        <v>0</v>
      </c>
      <c r="R41" s="644"/>
    </row>
    <row r="42" spans="1:18" ht="12.75">
      <c r="A42" s="836">
        <f t="shared" si="0"/>
        <v>30</v>
      </c>
      <c r="B42" s="80" t="s">
        <v>683</v>
      </c>
      <c r="C42" s="641"/>
      <c r="D42" s="642"/>
      <c r="E42" s="740">
        <v>0</v>
      </c>
      <c r="F42" s="570"/>
      <c r="G42" s="573">
        <v>2</v>
      </c>
      <c r="H42" s="642">
        <v>1.5</v>
      </c>
      <c r="I42" s="740">
        <v>4.1859525</v>
      </c>
      <c r="J42" s="570" t="s">
        <v>684</v>
      </c>
      <c r="K42" s="573"/>
      <c r="L42" s="642"/>
      <c r="M42" s="740">
        <v>0</v>
      </c>
      <c r="N42" s="644"/>
      <c r="O42" s="645"/>
      <c r="P42" s="642"/>
      <c r="Q42" s="741">
        <v>0</v>
      </c>
      <c r="R42" s="644"/>
    </row>
    <row r="43" spans="1:18" ht="12.75">
      <c r="A43" s="836">
        <f t="shared" si="0"/>
        <v>31</v>
      </c>
      <c r="B43" s="80" t="s">
        <v>634</v>
      </c>
      <c r="C43" s="641">
        <v>1</v>
      </c>
      <c r="D43" s="642">
        <v>1.7</v>
      </c>
      <c r="E43" s="740">
        <v>4.214147</v>
      </c>
      <c r="F43" s="570"/>
      <c r="G43" s="573"/>
      <c r="H43" s="642"/>
      <c r="I43" s="740">
        <v>0</v>
      </c>
      <c r="J43" s="570"/>
      <c r="K43" s="573"/>
      <c r="L43" s="642"/>
      <c r="M43" s="740">
        <v>0</v>
      </c>
      <c r="N43" s="644"/>
      <c r="O43" s="645"/>
      <c r="P43" s="642"/>
      <c r="Q43" s="741">
        <v>0</v>
      </c>
      <c r="R43" s="644"/>
    </row>
    <row r="44" spans="1:18" ht="12.75">
      <c r="A44" s="836">
        <f t="shared" si="0"/>
        <v>32</v>
      </c>
      <c r="B44" s="80" t="s">
        <v>15</v>
      </c>
      <c r="C44" s="641">
        <v>1</v>
      </c>
      <c r="D44" s="642">
        <v>3</v>
      </c>
      <c r="E44" s="740">
        <v>7.43673</v>
      </c>
      <c r="F44" s="570" t="s">
        <v>391</v>
      </c>
      <c r="G44" s="573"/>
      <c r="H44" s="642"/>
      <c r="I44" s="740">
        <v>0</v>
      </c>
      <c r="J44" s="570"/>
      <c r="K44" s="573"/>
      <c r="L44" s="642"/>
      <c r="M44" s="740">
        <v>0</v>
      </c>
      <c r="N44" s="644"/>
      <c r="O44" s="645"/>
      <c r="P44" s="642"/>
      <c r="Q44" s="741">
        <v>0</v>
      </c>
      <c r="R44" s="644"/>
    </row>
    <row r="45" spans="1:18" ht="12.75">
      <c r="A45" s="836">
        <f t="shared" si="0"/>
        <v>33</v>
      </c>
      <c r="B45" s="80" t="s">
        <v>47</v>
      </c>
      <c r="C45" s="641">
        <v>1</v>
      </c>
      <c r="D45" s="642">
        <v>0.5</v>
      </c>
      <c r="E45" s="740">
        <v>1.239455</v>
      </c>
      <c r="F45" s="646" t="s">
        <v>391</v>
      </c>
      <c r="G45" s="573"/>
      <c r="H45" s="642"/>
      <c r="I45" s="740">
        <v>0</v>
      </c>
      <c r="J45" s="646"/>
      <c r="K45" s="573"/>
      <c r="L45" s="642"/>
      <c r="M45" s="740">
        <v>0</v>
      </c>
      <c r="N45" s="644"/>
      <c r="O45" s="645"/>
      <c r="P45" s="642"/>
      <c r="Q45" s="741">
        <v>0</v>
      </c>
      <c r="R45" s="644"/>
    </row>
    <row r="46" spans="1:18" ht="12.75">
      <c r="A46" s="836">
        <f t="shared" si="0"/>
        <v>34</v>
      </c>
      <c r="B46" s="80" t="s">
        <v>576</v>
      </c>
      <c r="C46" s="641">
        <v>4</v>
      </c>
      <c r="D46" s="642">
        <v>10</v>
      </c>
      <c r="E46" s="740">
        <v>24.789099999999998</v>
      </c>
      <c r="F46" s="570" t="s">
        <v>579</v>
      </c>
      <c r="G46" s="573"/>
      <c r="H46" s="642"/>
      <c r="I46" s="740">
        <v>0</v>
      </c>
      <c r="J46" s="646"/>
      <c r="K46" s="573">
        <v>5</v>
      </c>
      <c r="L46" s="642">
        <v>10</v>
      </c>
      <c r="M46" s="740">
        <v>53.099999999999994</v>
      </c>
      <c r="N46" s="644" t="s">
        <v>578</v>
      </c>
      <c r="O46" s="645"/>
      <c r="P46" s="642"/>
      <c r="Q46" s="741">
        <v>0</v>
      </c>
      <c r="R46" s="644"/>
    </row>
    <row r="47" spans="1:18" ht="12.75">
      <c r="A47" s="836">
        <f t="shared" si="0"/>
        <v>35</v>
      </c>
      <c r="B47" s="80" t="s">
        <v>573</v>
      </c>
      <c r="C47" s="641">
        <v>5</v>
      </c>
      <c r="D47" s="642">
        <v>20</v>
      </c>
      <c r="E47" s="740">
        <v>49.578199999999995</v>
      </c>
      <c r="F47" s="570" t="s">
        <v>575</v>
      </c>
      <c r="G47" s="573"/>
      <c r="H47" s="642"/>
      <c r="I47" s="740">
        <v>0</v>
      </c>
      <c r="J47" s="570"/>
      <c r="K47" s="573"/>
      <c r="L47" s="642"/>
      <c r="M47" s="740">
        <v>0</v>
      </c>
      <c r="N47" s="644"/>
      <c r="O47" s="645"/>
      <c r="P47" s="642"/>
      <c r="Q47" s="741">
        <v>0</v>
      </c>
      <c r="R47" s="644"/>
    </row>
    <row r="48" spans="1:18" ht="12.75">
      <c r="A48" s="836">
        <f t="shared" si="0"/>
        <v>36</v>
      </c>
      <c r="B48" s="80" t="s">
        <v>70</v>
      </c>
      <c r="C48" s="641">
        <v>3</v>
      </c>
      <c r="D48" s="642">
        <v>6</v>
      </c>
      <c r="E48" s="740">
        <v>14.87346</v>
      </c>
      <c r="F48" s="570"/>
      <c r="G48" s="573"/>
      <c r="H48" s="642"/>
      <c r="I48" s="740">
        <v>0</v>
      </c>
      <c r="J48" s="570"/>
      <c r="K48" s="573"/>
      <c r="L48" s="642"/>
      <c r="M48" s="740">
        <v>0</v>
      </c>
      <c r="N48" s="644"/>
      <c r="O48" s="645"/>
      <c r="P48" s="642"/>
      <c r="Q48" s="741">
        <v>0</v>
      </c>
      <c r="R48" s="644"/>
    </row>
    <row r="49" spans="1:18" ht="12.75">
      <c r="A49" s="836">
        <f t="shared" si="0"/>
        <v>37</v>
      </c>
      <c r="B49" s="80" t="s">
        <v>446</v>
      </c>
      <c r="C49" s="641"/>
      <c r="D49" s="642"/>
      <c r="E49" s="740">
        <v>0</v>
      </c>
      <c r="F49" s="570"/>
      <c r="G49" s="573">
        <v>1</v>
      </c>
      <c r="H49" s="642">
        <v>4</v>
      </c>
      <c r="I49" s="740">
        <v>11.16254</v>
      </c>
      <c r="J49" s="570" t="s">
        <v>449</v>
      </c>
      <c r="K49" s="573"/>
      <c r="L49" s="642"/>
      <c r="M49" s="740">
        <v>0</v>
      </c>
      <c r="N49" s="644" t="s">
        <v>450</v>
      </c>
      <c r="O49" s="645"/>
      <c r="P49" s="642"/>
      <c r="Q49" s="741">
        <v>0</v>
      </c>
      <c r="R49" s="644"/>
    </row>
    <row r="50" spans="1:18" ht="12.75">
      <c r="A50" s="836">
        <f t="shared" si="0"/>
        <v>38</v>
      </c>
      <c r="B50" s="80" t="s">
        <v>442</v>
      </c>
      <c r="C50" s="641"/>
      <c r="D50" s="642"/>
      <c r="E50" s="740">
        <v>0</v>
      </c>
      <c r="F50" s="570"/>
      <c r="G50" s="573">
        <v>1</v>
      </c>
      <c r="H50" s="642">
        <v>2.4</v>
      </c>
      <c r="I50" s="740">
        <v>6.697524</v>
      </c>
      <c r="J50" s="570" t="s">
        <v>443</v>
      </c>
      <c r="K50" s="573"/>
      <c r="L50" s="642"/>
      <c r="M50" s="740">
        <v>0</v>
      </c>
      <c r="N50" s="644"/>
      <c r="O50" s="645"/>
      <c r="P50" s="642"/>
      <c r="Q50" s="741">
        <v>0</v>
      </c>
      <c r="R50" s="644"/>
    </row>
    <row r="51" spans="1:18" ht="12.75">
      <c r="A51" s="836">
        <f t="shared" si="0"/>
        <v>39</v>
      </c>
      <c r="B51" s="80" t="s">
        <v>501</v>
      </c>
      <c r="C51" s="641">
        <v>1</v>
      </c>
      <c r="D51" s="642">
        <v>3</v>
      </c>
      <c r="E51" s="740">
        <v>7.43673</v>
      </c>
      <c r="F51" s="570" t="s">
        <v>503</v>
      </c>
      <c r="G51" s="573"/>
      <c r="H51" s="642"/>
      <c r="I51" s="740">
        <v>0</v>
      </c>
      <c r="J51" s="570"/>
      <c r="K51" s="573">
        <v>4</v>
      </c>
      <c r="L51" s="642">
        <v>10</v>
      </c>
      <c r="M51" s="740">
        <v>53.099999999999994</v>
      </c>
      <c r="N51" s="644"/>
      <c r="O51" s="645"/>
      <c r="P51" s="642"/>
      <c r="Q51" s="741">
        <v>0</v>
      </c>
      <c r="R51" s="644"/>
    </row>
    <row r="52" spans="1:18" ht="12.75">
      <c r="A52" s="836">
        <f t="shared" si="0"/>
        <v>40</v>
      </c>
      <c r="B52" s="80" t="s">
        <v>481</v>
      </c>
      <c r="C52" s="641"/>
      <c r="D52" s="642"/>
      <c r="E52" s="740">
        <v>0</v>
      </c>
      <c r="F52" s="570"/>
      <c r="G52" s="573"/>
      <c r="H52" s="642"/>
      <c r="I52" s="740">
        <v>0</v>
      </c>
      <c r="J52" s="570"/>
      <c r="K52" s="573">
        <v>1</v>
      </c>
      <c r="L52" s="642">
        <v>2.5</v>
      </c>
      <c r="M52" s="740">
        <v>13.274999999999999</v>
      </c>
      <c r="N52" s="644" t="s">
        <v>766</v>
      </c>
      <c r="O52" s="645"/>
      <c r="P52" s="642"/>
      <c r="Q52" s="741">
        <v>0</v>
      </c>
      <c r="R52" s="644"/>
    </row>
    <row r="53" spans="1:18" ht="12.75">
      <c r="A53" s="836">
        <f t="shared" si="0"/>
        <v>41</v>
      </c>
      <c r="B53" s="80" t="s">
        <v>616</v>
      </c>
      <c r="C53" s="641"/>
      <c r="D53" s="642"/>
      <c r="E53" s="740">
        <v>0</v>
      </c>
      <c r="F53" s="570"/>
      <c r="G53" s="573">
        <v>2</v>
      </c>
      <c r="H53" s="642">
        <v>4</v>
      </c>
      <c r="I53" s="740">
        <v>11.16254</v>
      </c>
      <c r="J53" s="570" t="s">
        <v>617</v>
      </c>
      <c r="K53" s="573">
        <v>2</v>
      </c>
      <c r="L53" s="642">
        <v>5</v>
      </c>
      <c r="M53" s="740">
        <v>26.549999999999997</v>
      </c>
      <c r="N53" s="644" t="s">
        <v>748</v>
      </c>
      <c r="O53" s="645"/>
      <c r="P53" s="642"/>
      <c r="Q53" s="741">
        <v>0</v>
      </c>
      <c r="R53" s="644"/>
    </row>
    <row r="54" spans="1:18" ht="12.75">
      <c r="A54" s="836">
        <f t="shared" si="0"/>
        <v>42</v>
      </c>
      <c r="B54" s="80" t="s">
        <v>22</v>
      </c>
      <c r="C54" s="641"/>
      <c r="D54" s="642"/>
      <c r="E54" s="740">
        <v>0</v>
      </c>
      <c r="F54" s="570"/>
      <c r="G54" s="573"/>
      <c r="H54" s="642"/>
      <c r="I54" s="740">
        <v>0</v>
      </c>
      <c r="J54" s="570"/>
      <c r="K54" s="573">
        <v>1</v>
      </c>
      <c r="L54" s="642">
        <v>2.5</v>
      </c>
      <c r="M54" s="740">
        <v>13.274999999999999</v>
      </c>
      <c r="N54" s="644" t="s">
        <v>751</v>
      </c>
      <c r="O54" s="645"/>
      <c r="P54" s="642"/>
      <c r="Q54" s="741">
        <v>0</v>
      </c>
      <c r="R54" s="644"/>
    </row>
    <row r="55" spans="1:18" ht="12.75">
      <c r="A55" s="836">
        <f t="shared" si="0"/>
        <v>43</v>
      </c>
      <c r="B55" s="80" t="s">
        <v>520</v>
      </c>
      <c r="C55" s="641"/>
      <c r="D55" s="642"/>
      <c r="E55" s="740">
        <v>0</v>
      </c>
      <c r="F55" s="570"/>
      <c r="G55" s="573"/>
      <c r="H55" s="642"/>
      <c r="I55" s="740">
        <v>0</v>
      </c>
      <c r="J55" s="646"/>
      <c r="K55" s="573">
        <v>1</v>
      </c>
      <c r="L55" s="642">
        <v>3.5</v>
      </c>
      <c r="M55" s="740">
        <v>18.584999999999997</v>
      </c>
      <c r="N55" s="644" t="s">
        <v>565</v>
      </c>
      <c r="O55" s="645"/>
      <c r="P55" s="642"/>
      <c r="Q55" s="741">
        <v>0</v>
      </c>
      <c r="R55" s="644"/>
    </row>
    <row r="56" spans="1:18" ht="14.25" customHeight="1">
      <c r="A56" s="836">
        <f t="shared" si="0"/>
        <v>44</v>
      </c>
      <c r="B56" s="80" t="s">
        <v>657</v>
      </c>
      <c r="C56" s="641"/>
      <c r="D56" s="642"/>
      <c r="E56" s="740">
        <v>0</v>
      </c>
      <c r="F56" s="570"/>
      <c r="G56" s="573"/>
      <c r="H56" s="642"/>
      <c r="I56" s="740">
        <v>0</v>
      </c>
      <c r="J56" s="570"/>
      <c r="K56" s="573"/>
      <c r="L56" s="642"/>
      <c r="M56" s="740">
        <v>0</v>
      </c>
      <c r="N56" s="644"/>
      <c r="O56" s="645"/>
      <c r="P56" s="642"/>
      <c r="Q56" s="741">
        <v>0</v>
      </c>
      <c r="R56" s="644"/>
    </row>
    <row r="57" spans="1:18" ht="14.25" customHeight="1">
      <c r="A57" s="836">
        <f t="shared" si="0"/>
        <v>45</v>
      </c>
      <c r="B57" s="80" t="s">
        <v>567</v>
      </c>
      <c r="C57" s="641"/>
      <c r="D57" s="642"/>
      <c r="E57" s="740">
        <v>0</v>
      </c>
      <c r="F57" s="646"/>
      <c r="G57" s="573"/>
      <c r="H57" s="642"/>
      <c r="I57" s="740">
        <v>0</v>
      </c>
      <c r="J57" s="570"/>
      <c r="K57" s="573">
        <v>2</v>
      </c>
      <c r="L57" s="642">
        <v>6</v>
      </c>
      <c r="M57" s="740">
        <v>31.86</v>
      </c>
      <c r="N57" s="644" t="s">
        <v>568</v>
      </c>
      <c r="O57" s="645"/>
      <c r="P57" s="642"/>
      <c r="Q57" s="741">
        <v>0</v>
      </c>
      <c r="R57" s="742"/>
    </row>
    <row r="58" spans="1:18" ht="12.75">
      <c r="A58" s="836">
        <f t="shared" si="0"/>
        <v>46</v>
      </c>
      <c r="B58" s="80" t="s">
        <v>28</v>
      </c>
      <c r="C58" s="641">
        <v>2</v>
      </c>
      <c r="D58" s="642">
        <v>2.8</v>
      </c>
      <c r="E58" s="740">
        <v>6.940948</v>
      </c>
      <c r="F58" s="570" t="s">
        <v>676</v>
      </c>
      <c r="G58" s="573"/>
      <c r="H58" s="642"/>
      <c r="I58" s="740">
        <v>0</v>
      </c>
      <c r="J58" s="570"/>
      <c r="K58" s="573"/>
      <c r="L58" s="642"/>
      <c r="M58" s="740">
        <v>0</v>
      </c>
      <c r="N58" s="644"/>
      <c r="O58" s="645"/>
      <c r="P58" s="642"/>
      <c r="Q58" s="741">
        <v>0</v>
      </c>
      <c r="R58" s="644"/>
    </row>
    <row r="59" spans="1:18" ht="12.75">
      <c r="A59" s="836">
        <f t="shared" si="0"/>
        <v>47</v>
      </c>
      <c r="B59" s="80" t="s">
        <v>665</v>
      </c>
      <c r="C59" s="641"/>
      <c r="D59" s="642"/>
      <c r="E59" s="740">
        <v>0</v>
      </c>
      <c r="F59" s="570"/>
      <c r="G59" s="573"/>
      <c r="H59" s="642"/>
      <c r="I59" s="740">
        <v>0</v>
      </c>
      <c r="J59" s="646"/>
      <c r="K59" s="573">
        <v>10</v>
      </c>
      <c r="L59" s="642">
        <v>25.6</v>
      </c>
      <c r="M59" s="740">
        <v>135.936</v>
      </c>
      <c r="N59" s="644" t="s">
        <v>666</v>
      </c>
      <c r="O59" s="645"/>
      <c r="P59" s="642"/>
      <c r="Q59" s="741">
        <v>0</v>
      </c>
      <c r="R59" s="644"/>
    </row>
    <row r="60" spans="1:18" ht="12.75">
      <c r="A60" s="836">
        <f t="shared" si="0"/>
        <v>48</v>
      </c>
      <c r="B60" s="80" t="s">
        <v>675</v>
      </c>
      <c r="C60" s="641"/>
      <c r="D60" s="642"/>
      <c r="E60" s="740">
        <v>0</v>
      </c>
      <c r="F60" s="570"/>
      <c r="G60" s="573">
        <v>2</v>
      </c>
      <c r="H60" s="642">
        <v>6</v>
      </c>
      <c r="I60" s="740">
        <v>16.74381</v>
      </c>
      <c r="J60" s="570" t="s">
        <v>735</v>
      </c>
      <c r="K60" s="573"/>
      <c r="L60" s="642"/>
      <c r="M60" s="740">
        <v>0</v>
      </c>
      <c r="N60" s="644"/>
      <c r="O60" s="645"/>
      <c r="P60" s="642"/>
      <c r="Q60" s="741">
        <v>0</v>
      </c>
      <c r="R60" s="644"/>
    </row>
    <row r="61" spans="1:18" ht="12.75">
      <c r="A61" s="836">
        <f t="shared" si="0"/>
        <v>49</v>
      </c>
      <c r="B61" s="80" t="s">
        <v>736</v>
      </c>
      <c r="C61" s="641"/>
      <c r="D61" s="642"/>
      <c r="E61" s="740">
        <v>0</v>
      </c>
      <c r="F61" s="570"/>
      <c r="G61" s="573">
        <v>1</v>
      </c>
      <c r="H61" s="642">
        <v>3</v>
      </c>
      <c r="I61" s="740">
        <v>8.371905</v>
      </c>
      <c r="J61" s="570"/>
      <c r="K61" s="573">
        <v>2</v>
      </c>
      <c r="L61" s="642">
        <v>4</v>
      </c>
      <c r="M61" s="740">
        <v>21.24</v>
      </c>
      <c r="N61" s="644"/>
      <c r="O61" s="645"/>
      <c r="P61" s="642"/>
      <c r="Q61" s="741">
        <v>0</v>
      </c>
      <c r="R61" s="644"/>
    </row>
    <row r="62" spans="1:18" ht="12.75">
      <c r="A62" s="836">
        <f t="shared" si="0"/>
        <v>50</v>
      </c>
      <c r="B62" s="80" t="s">
        <v>521</v>
      </c>
      <c r="C62" s="641">
        <v>2</v>
      </c>
      <c r="D62" s="642">
        <v>24</v>
      </c>
      <c r="E62" s="740">
        <v>59.49384</v>
      </c>
      <c r="F62" s="570" t="s">
        <v>524</v>
      </c>
      <c r="G62" s="573">
        <v>4</v>
      </c>
      <c r="H62" s="642">
        <v>8</v>
      </c>
      <c r="I62" s="740">
        <v>22.32508</v>
      </c>
      <c r="J62" s="646" t="s">
        <v>523</v>
      </c>
      <c r="K62" s="573">
        <v>5</v>
      </c>
      <c r="L62" s="642">
        <v>15</v>
      </c>
      <c r="M62" s="740">
        <v>79.64999999999999</v>
      </c>
      <c r="N62" s="644"/>
      <c r="O62" s="645"/>
      <c r="P62" s="642"/>
      <c r="Q62" s="741">
        <v>0</v>
      </c>
      <c r="R62" s="644"/>
    </row>
    <row r="63" spans="1:18" ht="12.75">
      <c r="A63" s="836">
        <f t="shared" si="0"/>
        <v>51</v>
      </c>
      <c r="B63" s="80" t="s">
        <v>486</v>
      </c>
      <c r="C63" s="641"/>
      <c r="D63" s="642"/>
      <c r="E63" s="740">
        <v>0</v>
      </c>
      <c r="F63" s="646"/>
      <c r="G63" s="573"/>
      <c r="H63" s="642"/>
      <c r="I63" s="740">
        <v>0</v>
      </c>
      <c r="J63" s="570"/>
      <c r="K63" s="573">
        <v>1</v>
      </c>
      <c r="L63" s="642">
        <v>3</v>
      </c>
      <c r="M63" s="740">
        <v>15.93</v>
      </c>
      <c r="N63" s="644" t="s">
        <v>570</v>
      </c>
      <c r="O63" s="645"/>
      <c r="P63" s="642"/>
      <c r="Q63" s="741">
        <v>0</v>
      </c>
      <c r="R63" s="644"/>
    </row>
    <row r="64" spans="1:18" ht="12.75">
      <c r="A64" s="836">
        <f t="shared" si="0"/>
        <v>52</v>
      </c>
      <c r="B64" s="80" t="s">
        <v>71</v>
      </c>
      <c r="C64" s="641">
        <v>1</v>
      </c>
      <c r="D64" s="642">
        <v>3</v>
      </c>
      <c r="E64" s="740">
        <v>7.43673</v>
      </c>
      <c r="F64" s="646" t="s">
        <v>414</v>
      </c>
      <c r="G64" s="573"/>
      <c r="H64" s="642"/>
      <c r="I64" s="740">
        <v>0</v>
      </c>
      <c r="J64" s="570"/>
      <c r="K64" s="573"/>
      <c r="L64" s="642"/>
      <c r="M64" s="740">
        <v>0</v>
      </c>
      <c r="N64" s="644"/>
      <c r="O64" s="645"/>
      <c r="P64" s="642"/>
      <c r="Q64" s="741">
        <v>0</v>
      </c>
      <c r="R64" s="644"/>
    </row>
    <row r="65" spans="1:18" ht="12.75">
      <c r="A65" s="836">
        <f t="shared" si="0"/>
        <v>53</v>
      </c>
      <c r="B65" s="80" t="s">
        <v>488</v>
      </c>
      <c r="C65" s="641">
        <v>2</v>
      </c>
      <c r="D65" s="642">
        <v>6</v>
      </c>
      <c r="E65" s="740">
        <v>14.87346</v>
      </c>
      <c r="F65" s="646" t="s">
        <v>491</v>
      </c>
      <c r="G65" s="573"/>
      <c r="H65" s="642"/>
      <c r="I65" s="740">
        <v>0</v>
      </c>
      <c r="J65" s="646"/>
      <c r="K65" s="573"/>
      <c r="L65" s="642"/>
      <c r="M65" s="740">
        <v>0</v>
      </c>
      <c r="N65" s="644"/>
      <c r="O65" s="645"/>
      <c r="P65" s="642"/>
      <c r="Q65" s="741">
        <v>0</v>
      </c>
      <c r="R65" s="647"/>
    </row>
    <row r="66" spans="1:18" ht="12.75">
      <c r="A66" s="836">
        <f t="shared" si="0"/>
        <v>54</v>
      </c>
      <c r="B66" s="80" t="s">
        <v>546</v>
      </c>
      <c r="C66" s="641">
        <v>5</v>
      </c>
      <c r="D66" s="642"/>
      <c r="E66" s="740">
        <v>0</v>
      </c>
      <c r="F66" s="570" t="s">
        <v>547</v>
      </c>
      <c r="G66" s="573"/>
      <c r="H66" s="642"/>
      <c r="I66" s="740">
        <v>0</v>
      </c>
      <c r="J66" s="646"/>
      <c r="K66" s="573"/>
      <c r="L66" s="642"/>
      <c r="M66" s="740">
        <v>0</v>
      </c>
      <c r="N66" s="644"/>
      <c r="O66" s="645"/>
      <c r="P66" s="642"/>
      <c r="Q66" s="741">
        <v>0</v>
      </c>
      <c r="R66" s="644"/>
    </row>
    <row r="67" spans="1:18" ht="13.5" customHeight="1">
      <c r="A67" s="836">
        <f t="shared" si="0"/>
        <v>55</v>
      </c>
      <c r="B67" s="80" t="s">
        <v>777</v>
      </c>
      <c r="C67" s="641"/>
      <c r="D67" s="642"/>
      <c r="E67" s="740">
        <v>0</v>
      </c>
      <c r="F67" s="570"/>
      <c r="G67" s="573"/>
      <c r="H67" s="642"/>
      <c r="I67" s="740">
        <v>0</v>
      </c>
      <c r="J67" s="646"/>
      <c r="K67" s="573"/>
      <c r="L67" s="642"/>
      <c r="M67" s="740">
        <v>0</v>
      </c>
      <c r="N67" s="644"/>
      <c r="O67" s="645">
        <v>6</v>
      </c>
      <c r="P67" s="642">
        <v>8.64</v>
      </c>
      <c r="Q67" s="741">
        <v>59.99999616</v>
      </c>
      <c r="R67" s="953" t="s">
        <v>778</v>
      </c>
    </row>
    <row r="68" spans="1:18" ht="12.75">
      <c r="A68" s="836">
        <f t="shared" si="0"/>
        <v>56</v>
      </c>
      <c r="B68" s="80" t="s">
        <v>728</v>
      </c>
      <c r="C68" s="641"/>
      <c r="D68" s="642"/>
      <c r="E68" s="740">
        <v>0</v>
      </c>
      <c r="F68" s="570"/>
      <c r="G68" s="573">
        <v>3</v>
      </c>
      <c r="H68" s="642">
        <v>3</v>
      </c>
      <c r="I68" s="740">
        <v>8.371905</v>
      </c>
      <c r="J68" s="570" t="s">
        <v>730</v>
      </c>
      <c r="K68" s="573"/>
      <c r="L68" s="642"/>
      <c r="M68" s="740">
        <v>0</v>
      </c>
      <c r="N68" s="644"/>
      <c r="O68" s="645"/>
      <c r="P68" s="642"/>
      <c r="Q68" s="741">
        <v>0</v>
      </c>
      <c r="R68" s="644"/>
    </row>
    <row r="69" spans="1:18" ht="12.75">
      <c r="A69" s="836">
        <f t="shared" si="0"/>
        <v>57</v>
      </c>
      <c r="B69" s="80" t="s">
        <v>670</v>
      </c>
      <c r="C69" s="641"/>
      <c r="D69" s="642"/>
      <c r="E69" s="740">
        <v>0</v>
      </c>
      <c r="F69" s="570"/>
      <c r="G69" s="573">
        <v>1</v>
      </c>
      <c r="H69" s="642">
        <v>1.5</v>
      </c>
      <c r="I69" s="740">
        <v>4.1859525</v>
      </c>
      <c r="J69" s="570" t="s">
        <v>671</v>
      </c>
      <c r="K69" s="573"/>
      <c r="L69" s="642"/>
      <c r="M69" s="740">
        <v>0</v>
      </c>
      <c r="N69" s="644"/>
      <c r="O69" s="645"/>
      <c r="P69" s="642"/>
      <c r="Q69" s="741">
        <v>0</v>
      </c>
      <c r="R69" s="644"/>
    </row>
    <row r="70" spans="1:18" ht="12.75">
      <c r="A70" s="836">
        <f t="shared" si="0"/>
        <v>58</v>
      </c>
      <c r="B70" s="80" t="s">
        <v>19</v>
      </c>
      <c r="C70" s="641">
        <v>2</v>
      </c>
      <c r="D70" s="642">
        <v>4</v>
      </c>
      <c r="E70" s="740">
        <v>9.91564</v>
      </c>
      <c r="F70" s="570" t="s">
        <v>400</v>
      </c>
      <c r="G70" s="573"/>
      <c r="H70" s="642"/>
      <c r="I70" s="740">
        <v>0</v>
      </c>
      <c r="J70" s="570"/>
      <c r="K70" s="573"/>
      <c r="L70" s="642"/>
      <c r="M70" s="740">
        <v>0</v>
      </c>
      <c r="N70" s="644"/>
      <c r="O70" s="645"/>
      <c r="P70" s="642"/>
      <c r="Q70" s="741">
        <v>0</v>
      </c>
      <c r="R70" s="644"/>
    </row>
    <row r="71" spans="1:18" ht="12.75">
      <c r="A71" s="836">
        <f t="shared" si="0"/>
        <v>59</v>
      </c>
      <c r="B71" s="80" t="s">
        <v>20</v>
      </c>
      <c r="C71" s="641"/>
      <c r="D71" s="642"/>
      <c r="E71" s="740">
        <v>0</v>
      </c>
      <c r="F71" s="570"/>
      <c r="G71" s="573"/>
      <c r="H71" s="642"/>
      <c r="I71" s="740">
        <v>0</v>
      </c>
      <c r="J71" s="570" t="s">
        <v>572</v>
      </c>
      <c r="K71" s="573">
        <v>1</v>
      </c>
      <c r="L71" s="642">
        <v>2</v>
      </c>
      <c r="M71" s="740">
        <v>10.62</v>
      </c>
      <c r="N71" s="644" t="s">
        <v>403</v>
      </c>
      <c r="O71" s="645"/>
      <c r="P71" s="642"/>
      <c r="Q71" s="741">
        <v>0</v>
      </c>
      <c r="R71" s="644"/>
    </row>
    <row r="72" spans="1:18" ht="12.75">
      <c r="A72" s="836">
        <f t="shared" si="0"/>
        <v>60</v>
      </c>
      <c r="B72" s="80" t="s">
        <v>526</v>
      </c>
      <c r="C72" s="641"/>
      <c r="D72" s="642"/>
      <c r="E72" s="740">
        <v>0</v>
      </c>
      <c r="F72" s="570"/>
      <c r="G72" s="573">
        <v>4</v>
      </c>
      <c r="H72" s="642">
        <v>8</v>
      </c>
      <c r="I72" s="740">
        <v>22.32508</v>
      </c>
      <c r="J72" s="646" t="s">
        <v>527</v>
      </c>
      <c r="K72" s="573"/>
      <c r="L72" s="642"/>
      <c r="M72" s="740">
        <v>0</v>
      </c>
      <c r="N72" s="644"/>
      <c r="O72" s="645"/>
      <c r="P72" s="642"/>
      <c r="Q72" s="741">
        <v>0</v>
      </c>
      <c r="R72" s="644"/>
    </row>
    <row r="73" spans="1:18" ht="12.75">
      <c r="A73" s="836">
        <f t="shared" si="0"/>
        <v>61</v>
      </c>
      <c r="B73" s="80" t="s">
        <v>532</v>
      </c>
      <c r="C73" s="641"/>
      <c r="D73" s="642"/>
      <c r="E73" s="740">
        <v>0</v>
      </c>
      <c r="F73" s="643"/>
      <c r="G73" s="573">
        <v>4</v>
      </c>
      <c r="H73" s="642">
        <v>8</v>
      </c>
      <c r="I73" s="740">
        <v>22.32508</v>
      </c>
      <c r="J73" s="646" t="s">
        <v>762</v>
      </c>
      <c r="K73" s="573"/>
      <c r="L73" s="642"/>
      <c r="M73" s="740">
        <v>0</v>
      </c>
      <c r="N73" s="644"/>
      <c r="O73" s="645"/>
      <c r="P73" s="642"/>
      <c r="Q73" s="741">
        <v>0</v>
      </c>
      <c r="R73" s="644"/>
    </row>
    <row r="74" spans="1:18" ht="12.75">
      <c r="A74" s="836">
        <f t="shared" si="0"/>
        <v>62</v>
      </c>
      <c r="B74" s="80" t="s">
        <v>534</v>
      </c>
      <c r="C74" s="641">
        <v>1</v>
      </c>
      <c r="D74" s="642">
        <v>4</v>
      </c>
      <c r="E74" s="740">
        <v>9.91564</v>
      </c>
      <c r="F74" s="570" t="s">
        <v>391</v>
      </c>
      <c r="G74" s="573">
        <v>8</v>
      </c>
      <c r="H74" s="642">
        <v>16</v>
      </c>
      <c r="I74" s="740">
        <v>44.65016</v>
      </c>
      <c r="J74" s="570" t="s">
        <v>527</v>
      </c>
      <c r="K74" s="573"/>
      <c r="L74" s="642"/>
      <c r="M74" s="740">
        <v>0</v>
      </c>
      <c r="N74" s="644"/>
      <c r="O74" s="645"/>
      <c r="P74" s="642"/>
      <c r="Q74" s="741">
        <v>0</v>
      </c>
      <c r="R74" s="644"/>
    </row>
    <row r="75" spans="1:20" ht="12.75">
      <c r="A75" s="836">
        <f t="shared" si="0"/>
        <v>63</v>
      </c>
      <c r="B75" s="80" t="s">
        <v>535</v>
      </c>
      <c r="C75" s="641">
        <v>5</v>
      </c>
      <c r="D75" s="642">
        <v>15</v>
      </c>
      <c r="E75" s="740">
        <v>37.18365</v>
      </c>
      <c r="F75" s="570"/>
      <c r="G75" s="573"/>
      <c r="H75" s="642"/>
      <c r="I75" s="740">
        <v>0</v>
      </c>
      <c r="J75" s="570"/>
      <c r="K75" s="573"/>
      <c r="L75" s="642"/>
      <c r="M75" s="740">
        <v>0</v>
      </c>
      <c r="N75" s="644"/>
      <c r="O75" s="645"/>
      <c r="P75" s="642"/>
      <c r="Q75" s="741">
        <v>0</v>
      </c>
      <c r="R75" s="644"/>
      <c r="T75" s="51"/>
    </row>
    <row r="76" spans="1:18" ht="12.75">
      <c r="A76" s="836">
        <f t="shared" si="0"/>
        <v>64</v>
      </c>
      <c r="B76" s="80" t="s">
        <v>462</v>
      </c>
      <c r="C76" s="641"/>
      <c r="D76" s="642"/>
      <c r="E76" s="740">
        <v>0</v>
      </c>
      <c r="F76" s="570"/>
      <c r="G76" s="573">
        <v>2</v>
      </c>
      <c r="H76" s="642">
        <v>6</v>
      </c>
      <c r="I76" s="740">
        <v>16.74381</v>
      </c>
      <c r="J76" s="570" t="s">
        <v>465</v>
      </c>
      <c r="K76" s="573"/>
      <c r="L76" s="642"/>
      <c r="M76" s="740">
        <v>0</v>
      </c>
      <c r="N76" s="644"/>
      <c r="O76" s="645"/>
      <c r="P76" s="642"/>
      <c r="Q76" s="741">
        <v>0</v>
      </c>
      <c r="R76" s="644"/>
    </row>
    <row r="77" spans="1:18" ht="12.75">
      <c r="A77" s="836">
        <f t="shared" si="0"/>
        <v>65</v>
      </c>
      <c r="B77" s="80" t="s">
        <v>554</v>
      </c>
      <c r="C77" s="641"/>
      <c r="D77" s="642"/>
      <c r="E77" s="740">
        <v>0</v>
      </c>
      <c r="F77" s="570"/>
      <c r="G77" s="573"/>
      <c r="H77" s="642"/>
      <c r="I77" s="740">
        <v>0</v>
      </c>
      <c r="J77" s="646"/>
      <c r="K77" s="573">
        <v>1</v>
      </c>
      <c r="L77" s="642">
        <v>4</v>
      </c>
      <c r="M77" s="740">
        <v>21.24</v>
      </c>
      <c r="N77" s="644" t="s">
        <v>571</v>
      </c>
      <c r="O77" s="645"/>
      <c r="P77" s="642"/>
      <c r="Q77" s="741">
        <v>0</v>
      </c>
      <c r="R77" s="644"/>
    </row>
    <row r="78" spans="1:20" ht="12.75">
      <c r="A78" s="836">
        <f t="shared" si="0"/>
        <v>66</v>
      </c>
      <c r="B78" s="80" t="s">
        <v>552</v>
      </c>
      <c r="C78" s="641"/>
      <c r="D78" s="642"/>
      <c r="E78" s="740">
        <v>0</v>
      </c>
      <c r="F78" s="646"/>
      <c r="G78" s="573"/>
      <c r="H78" s="642"/>
      <c r="I78" s="740">
        <v>0</v>
      </c>
      <c r="J78" s="570" t="s">
        <v>527</v>
      </c>
      <c r="K78" s="573">
        <v>4</v>
      </c>
      <c r="L78" s="642">
        <v>14</v>
      </c>
      <c r="M78" s="740">
        <v>74.33999999999999</v>
      </c>
      <c r="N78" s="644" t="s">
        <v>553</v>
      </c>
      <c r="O78" s="645"/>
      <c r="P78" s="642"/>
      <c r="Q78" s="741">
        <v>0</v>
      </c>
      <c r="R78" s="644"/>
      <c r="T78" s="1224"/>
    </row>
    <row r="79" spans="1:20" ht="12.75">
      <c r="A79" s="836">
        <f t="shared" si="0"/>
        <v>67</v>
      </c>
      <c r="B79" s="80" t="s">
        <v>542</v>
      </c>
      <c r="C79" s="641">
        <v>4</v>
      </c>
      <c r="D79" s="642">
        <v>12</v>
      </c>
      <c r="E79" s="740">
        <v>29.74692</v>
      </c>
      <c r="F79" s="570"/>
      <c r="G79" s="573">
        <v>6</v>
      </c>
      <c r="H79" s="642">
        <v>12</v>
      </c>
      <c r="I79" s="740">
        <v>33.48762</v>
      </c>
      <c r="J79" s="570" t="s">
        <v>527</v>
      </c>
      <c r="K79" s="573"/>
      <c r="L79" s="642"/>
      <c r="M79" s="740">
        <v>0</v>
      </c>
      <c r="N79" s="644"/>
      <c r="O79" s="645"/>
      <c r="P79" s="642"/>
      <c r="Q79" s="741">
        <v>0</v>
      </c>
      <c r="R79" s="644"/>
      <c r="T79" s="1299"/>
    </row>
    <row r="80" spans="1:18" ht="12.75">
      <c r="A80" s="836">
        <f t="shared" si="0"/>
        <v>68</v>
      </c>
      <c r="B80" s="80" t="s">
        <v>543</v>
      </c>
      <c r="C80" s="641"/>
      <c r="D80" s="642"/>
      <c r="E80" s="740">
        <v>0</v>
      </c>
      <c r="F80" s="570"/>
      <c r="G80" s="573">
        <v>4</v>
      </c>
      <c r="H80" s="642">
        <v>8</v>
      </c>
      <c r="I80" s="740">
        <v>22.32508</v>
      </c>
      <c r="J80" s="570" t="s">
        <v>527</v>
      </c>
      <c r="K80" s="573"/>
      <c r="L80" s="642"/>
      <c r="M80" s="740">
        <v>0</v>
      </c>
      <c r="N80" s="644"/>
      <c r="O80" s="645"/>
      <c r="P80" s="642"/>
      <c r="Q80" s="741">
        <v>0</v>
      </c>
      <c r="R80" s="644"/>
    </row>
    <row r="81" spans="1:20" ht="12.75">
      <c r="A81" s="836">
        <f t="shared" si="0"/>
        <v>69</v>
      </c>
      <c r="B81" s="80" t="s">
        <v>544</v>
      </c>
      <c r="C81" s="641"/>
      <c r="D81" s="642"/>
      <c r="E81" s="740">
        <v>0</v>
      </c>
      <c r="F81" s="646"/>
      <c r="G81" s="573">
        <v>6</v>
      </c>
      <c r="H81" s="642">
        <v>12</v>
      </c>
      <c r="I81" s="740">
        <v>33.48762</v>
      </c>
      <c r="J81" s="570" t="s">
        <v>527</v>
      </c>
      <c r="K81" s="573">
        <v>1</v>
      </c>
      <c r="L81" s="642">
        <v>2.7</v>
      </c>
      <c r="M81" s="740">
        <v>14.337</v>
      </c>
      <c r="N81" s="644" t="s">
        <v>545</v>
      </c>
      <c r="O81" s="645"/>
      <c r="P81" s="642"/>
      <c r="Q81" s="741">
        <v>0</v>
      </c>
      <c r="R81" s="644"/>
      <c r="T81" s="1238"/>
    </row>
    <row r="82" spans="1:20" ht="12.75">
      <c r="A82" s="836">
        <f t="shared" si="0"/>
        <v>70</v>
      </c>
      <c r="B82" s="80" t="s">
        <v>541</v>
      </c>
      <c r="C82" s="641"/>
      <c r="D82" s="642"/>
      <c r="E82" s="740">
        <v>0</v>
      </c>
      <c r="F82" s="570"/>
      <c r="G82" s="573">
        <v>4</v>
      </c>
      <c r="H82" s="642">
        <v>8</v>
      </c>
      <c r="I82" s="740">
        <v>22.32508</v>
      </c>
      <c r="J82" s="570" t="s">
        <v>527</v>
      </c>
      <c r="K82" s="573"/>
      <c r="L82" s="642"/>
      <c r="M82" s="740">
        <v>0</v>
      </c>
      <c r="N82" s="644"/>
      <c r="O82" s="645"/>
      <c r="P82" s="642"/>
      <c r="Q82" s="741">
        <v>0</v>
      </c>
      <c r="R82" s="644"/>
      <c r="T82" s="1237"/>
    </row>
    <row r="83" spans="1:18" ht="12.75">
      <c r="A83" s="836">
        <f t="shared" si="0"/>
        <v>71</v>
      </c>
      <c r="B83" s="80" t="s">
        <v>496</v>
      </c>
      <c r="C83" s="641"/>
      <c r="D83" s="642"/>
      <c r="E83" s="740">
        <v>0</v>
      </c>
      <c r="F83" s="570"/>
      <c r="G83" s="573">
        <v>2</v>
      </c>
      <c r="H83" s="642">
        <v>4</v>
      </c>
      <c r="I83" s="740">
        <v>11.16254</v>
      </c>
      <c r="J83" s="570" t="s">
        <v>497</v>
      </c>
      <c r="K83" s="573"/>
      <c r="L83" s="642"/>
      <c r="M83" s="740">
        <v>0</v>
      </c>
      <c r="N83" s="644"/>
      <c r="O83" s="645"/>
      <c r="P83" s="642"/>
      <c r="Q83" s="741">
        <v>0</v>
      </c>
      <c r="R83" s="644"/>
    </row>
    <row r="84" spans="1:18" ht="15.75">
      <c r="A84" s="836">
        <f t="shared" si="0"/>
        <v>72</v>
      </c>
      <c r="B84" s="80" t="s">
        <v>536</v>
      </c>
      <c r="C84" s="641">
        <v>5</v>
      </c>
      <c r="D84" s="642">
        <v>15</v>
      </c>
      <c r="E84" s="740">
        <v>37.18365</v>
      </c>
      <c r="F84" s="570"/>
      <c r="G84" s="573"/>
      <c r="H84" s="642"/>
      <c r="I84" s="740">
        <v>0</v>
      </c>
      <c r="J84" s="646"/>
      <c r="K84" s="648"/>
      <c r="L84" s="649"/>
      <c r="M84" s="740">
        <v>0</v>
      </c>
      <c r="N84" s="574"/>
      <c r="O84" s="645"/>
      <c r="P84" s="642"/>
      <c r="Q84" s="741">
        <v>0</v>
      </c>
      <c r="R84" s="644"/>
    </row>
    <row r="85" spans="1:18" ht="12.75">
      <c r="A85" s="836">
        <f t="shared" si="0"/>
        <v>73</v>
      </c>
      <c r="B85" s="80" t="s">
        <v>538</v>
      </c>
      <c r="C85" s="641"/>
      <c r="D85" s="642"/>
      <c r="E85" s="740">
        <v>0</v>
      </c>
      <c r="F85" s="570"/>
      <c r="G85" s="573">
        <v>8</v>
      </c>
      <c r="H85" s="642">
        <v>12</v>
      </c>
      <c r="I85" s="740">
        <v>33.48762</v>
      </c>
      <c r="J85" s="570" t="s">
        <v>527</v>
      </c>
      <c r="K85" s="573"/>
      <c r="L85" s="642"/>
      <c r="M85" s="740">
        <v>0</v>
      </c>
      <c r="N85" s="644"/>
      <c r="O85" s="645"/>
      <c r="P85" s="642"/>
      <c r="Q85" s="741">
        <v>0</v>
      </c>
      <c r="R85" s="644"/>
    </row>
    <row r="86" spans="1:18" ht="13.5" thickBot="1">
      <c r="A86" s="836">
        <f t="shared" si="0"/>
        <v>74</v>
      </c>
      <c r="B86" s="80" t="s">
        <v>539</v>
      </c>
      <c r="C86" s="641"/>
      <c r="D86" s="642"/>
      <c r="E86" s="740">
        <v>0</v>
      </c>
      <c r="F86" s="643"/>
      <c r="G86" s="573">
        <v>4</v>
      </c>
      <c r="H86" s="642">
        <v>8</v>
      </c>
      <c r="I86" s="740">
        <v>22.32508</v>
      </c>
      <c r="J86" s="570" t="s">
        <v>527</v>
      </c>
      <c r="K86" s="573">
        <v>1</v>
      </c>
      <c r="L86" s="642">
        <v>2.5</v>
      </c>
      <c r="M86" s="740">
        <v>13.274999999999999</v>
      </c>
      <c r="N86" s="644" t="s">
        <v>749</v>
      </c>
      <c r="O86" s="645"/>
      <c r="P86" s="642"/>
      <c r="Q86" s="741">
        <v>0</v>
      </c>
      <c r="R86" s="644"/>
    </row>
    <row r="87" spans="1:18" ht="13.5" thickBot="1">
      <c r="A87" s="81"/>
      <c r="B87" s="650" t="s">
        <v>259</v>
      </c>
      <c r="C87" s="82">
        <v>87</v>
      </c>
      <c r="D87" s="83">
        <v>204.65</v>
      </c>
      <c r="E87" s="743">
        <v>507.30893149999997</v>
      </c>
      <c r="F87" s="55"/>
      <c r="G87" s="82">
        <v>96</v>
      </c>
      <c r="H87" s="83">
        <v>207.9</v>
      </c>
      <c r="I87" s="743">
        <v>580.1730165</v>
      </c>
      <c r="J87" s="84"/>
      <c r="K87" s="82">
        <v>77</v>
      </c>
      <c r="L87" s="83">
        <v>179.2</v>
      </c>
      <c r="M87" s="743">
        <v>951.5519999999999</v>
      </c>
      <c r="N87" s="85"/>
      <c r="O87" s="86">
        <v>6</v>
      </c>
      <c r="P87" s="83">
        <v>8.64</v>
      </c>
      <c r="Q87" s="743">
        <v>59.99999616</v>
      </c>
      <c r="R87" s="83">
        <f>SUM(R13:R86)</f>
        <v>0</v>
      </c>
    </row>
    <row r="88" spans="1:18" ht="13.5" thickBot="1">
      <c r="A88" s="744"/>
      <c r="B88" s="745" t="s">
        <v>361</v>
      </c>
      <c r="C88" s="1252"/>
      <c r="D88" s="1253">
        <v>0.60039</v>
      </c>
      <c r="E88" s="1254">
        <v>2099.03394416</v>
      </c>
      <c r="F88" s="746"/>
      <c r="G88" s="747"/>
      <c r="H88" s="747"/>
      <c r="I88" s="747"/>
      <c r="J88" s="747"/>
      <c r="K88" s="747"/>
      <c r="L88" s="747"/>
      <c r="M88" s="747"/>
      <c r="N88" s="748"/>
      <c r="O88" s="1474"/>
      <c r="P88" s="1474"/>
      <c r="Q88" s="1475"/>
      <c r="R88" s="910"/>
    </row>
    <row r="90" spans="2:9" ht="12.75">
      <c r="B90" t="s">
        <v>236</v>
      </c>
      <c r="D90" s="1453"/>
      <c r="I90" s="3" t="s">
        <v>356</v>
      </c>
    </row>
    <row r="91" ht="12.75">
      <c r="D91" s="1453"/>
    </row>
    <row r="92" ht="12.75" hidden="1"/>
    <row r="93" ht="12.75" hidden="1"/>
    <row r="94" ht="12.75" hidden="1"/>
    <row r="95" spans="2:8" ht="12.75" hidden="1">
      <c r="B95" s="1032"/>
      <c r="C95" s="1032">
        <v>2015</v>
      </c>
      <c r="D95" s="1454">
        <v>2016</v>
      </c>
      <c r="E95" s="1454"/>
      <c r="F95" s="1454"/>
      <c r="G95" s="1454"/>
      <c r="H95" s="1454"/>
    </row>
    <row r="96" spans="2:8" ht="12.75" hidden="1">
      <c r="B96" s="1243" t="s">
        <v>362</v>
      </c>
      <c r="C96" s="1239">
        <v>1304.045</v>
      </c>
      <c r="D96" s="1455">
        <v>5310</v>
      </c>
      <c r="E96" s="1454"/>
      <c r="F96" s="1454"/>
      <c r="G96" s="1454"/>
      <c r="H96" s="1454"/>
    </row>
    <row r="97" spans="2:8" ht="12.75" hidden="1">
      <c r="B97" s="1244" t="s">
        <v>363</v>
      </c>
      <c r="C97" s="1240">
        <v>1650.005</v>
      </c>
      <c r="D97" s="1454">
        <v>1947.006</v>
      </c>
      <c r="E97" s="1454"/>
      <c r="F97" s="1454"/>
      <c r="G97" s="1454"/>
      <c r="H97" s="1454"/>
    </row>
    <row r="98" spans="2:8" ht="12.75" hidden="1">
      <c r="B98" s="1244" t="s">
        <v>364</v>
      </c>
      <c r="C98" s="1240">
        <v>257.24</v>
      </c>
      <c r="D98" s="1456">
        <v>2790.63</v>
      </c>
      <c r="E98" s="1454"/>
      <c r="F98" s="1454"/>
      <c r="G98" s="1454"/>
      <c r="H98" s="1454"/>
    </row>
    <row r="99" spans="2:8" ht="13.5" hidden="1" thickBot="1">
      <c r="B99" s="1245" t="s">
        <v>365</v>
      </c>
      <c r="C99" s="1241">
        <v>1317.027</v>
      </c>
      <c r="D99" s="1457">
        <v>2790.63</v>
      </c>
      <c r="E99" s="1454"/>
      <c r="F99" s="1454"/>
      <c r="G99" s="1454"/>
      <c r="H99" s="1454"/>
    </row>
    <row r="100" spans="2:8" ht="12.75" hidden="1">
      <c r="B100" s="1032"/>
      <c r="C100" s="1032"/>
      <c r="D100" s="1454"/>
      <c r="E100" s="1454"/>
      <c r="F100" s="1454"/>
      <c r="G100" s="1454"/>
      <c r="H100" s="1454"/>
    </row>
    <row r="101" spans="2:8" ht="17.25" customHeight="1" hidden="1" thickBot="1">
      <c r="B101" s="1246" t="s">
        <v>867</v>
      </c>
      <c r="C101" s="1242" t="e">
        <f>#REF!+#REF!+#REF!+#REF!</f>
        <v>#REF!</v>
      </c>
      <c r="D101" s="1458"/>
      <c r="E101" s="1459"/>
      <c r="F101" s="1454"/>
      <c r="G101" s="1454"/>
      <c r="H101" s="1454"/>
    </row>
    <row r="102" spans="2:8" ht="12.75" hidden="1">
      <c r="B102" s="1247" t="s">
        <v>108</v>
      </c>
      <c r="C102" s="1247" t="s">
        <v>43</v>
      </c>
      <c r="D102" s="1460" t="s">
        <v>86</v>
      </c>
      <c r="E102" s="1460"/>
      <c r="F102" s="1454"/>
      <c r="G102" s="1454"/>
      <c r="H102" s="1454"/>
    </row>
    <row r="103" spans="2:8" ht="12.75" hidden="1">
      <c r="B103" s="1248">
        <f>D87+H87+L87+P87</f>
        <v>600.39</v>
      </c>
      <c r="C103" s="1249">
        <f>C87+G87+K87+O87</f>
        <v>266</v>
      </c>
      <c r="D103" s="1461">
        <f>E87+I87+M87+Q87</f>
        <v>2099.03394416</v>
      </c>
      <c r="E103" s="1462" t="s">
        <v>6</v>
      </c>
      <c r="F103" s="1454"/>
      <c r="G103" s="1454"/>
      <c r="H103" s="1454"/>
    </row>
    <row r="104" spans="2:8" ht="12.75" hidden="1">
      <c r="B104" s="1248">
        <f>L87</f>
        <v>179.2</v>
      </c>
      <c r="C104" s="1250">
        <f>K87</f>
        <v>77</v>
      </c>
      <c r="D104" s="1461">
        <f>M87</f>
        <v>951.5519999999999</v>
      </c>
      <c r="E104" s="1462" t="s">
        <v>264</v>
      </c>
      <c r="F104" s="1454"/>
      <c r="G104" s="1454"/>
      <c r="H104" s="1454"/>
    </row>
    <row r="105" spans="2:8" ht="12.75" hidden="1">
      <c r="B105" s="1250">
        <f>D87+H87+P87</f>
        <v>421.19</v>
      </c>
      <c r="C105" s="1250">
        <f>C87+G87+O87</f>
        <v>189</v>
      </c>
      <c r="D105" s="1463">
        <f>E87+I87+Q87</f>
        <v>1147.48194416</v>
      </c>
      <c r="E105" s="1462" t="s">
        <v>868</v>
      </c>
      <c r="F105" s="1454"/>
      <c r="G105" s="1454"/>
      <c r="H105" s="1454"/>
    </row>
    <row r="106" spans="2:8" ht="13.5" thickBot="1">
      <c r="B106" s="1366" t="s">
        <v>892</v>
      </c>
      <c r="C106" s="1366"/>
      <c r="D106" s="1464"/>
      <c r="E106" s="1465"/>
      <c r="F106" s="1454"/>
      <c r="G106" s="1454"/>
      <c r="H106" s="1454"/>
    </row>
    <row r="107" spans="1:17" ht="13.5" customHeight="1" thickBot="1">
      <c r="A107" s="77" t="s">
        <v>36</v>
      </c>
      <c r="B107" s="1759" t="s">
        <v>3</v>
      </c>
      <c r="C107" s="1770" t="s">
        <v>262</v>
      </c>
      <c r="D107" s="1771"/>
      <c r="E107" s="1772"/>
      <c r="F107" s="1761" t="s">
        <v>107</v>
      </c>
      <c r="G107" s="1763" t="s">
        <v>263</v>
      </c>
      <c r="H107" s="1764"/>
      <c r="I107" s="1765"/>
      <c r="J107" s="1761" t="s">
        <v>107</v>
      </c>
      <c r="K107" s="1763" t="s">
        <v>264</v>
      </c>
      <c r="L107" s="1764"/>
      <c r="M107" s="1765"/>
      <c r="N107" s="1768" t="s">
        <v>107</v>
      </c>
      <c r="O107" s="1763" t="s">
        <v>265</v>
      </c>
      <c r="P107" s="1764"/>
      <c r="Q107" s="1765"/>
    </row>
    <row r="108" spans="1:17" ht="13.5" thickBot="1">
      <c r="A108" s="36" t="s">
        <v>258</v>
      </c>
      <c r="B108" s="1773"/>
      <c r="C108" s="952" t="s">
        <v>43</v>
      </c>
      <c r="D108" s="1466" t="s">
        <v>108</v>
      </c>
      <c r="E108" s="1467" t="s">
        <v>268</v>
      </c>
      <c r="F108" s="1774"/>
      <c r="G108" s="1476" t="s">
        <v>43</v>
      </c>
      <c r="H108" s="1466" t="s">
        <v>108</v>
      </c>
      <c r="I108" s="1467" t="s">
        <v>360</v>
      </c>
      <c r="J108" s="1774"/>
      <c r="K108" s="1476" t="s">
        <v>43</v>
      </c>
      <c r="L108" s="1466" t="s">
        <v>108</v>
      </c>
      <c r="M108" s="1467" t="s">
        <v>268</v>
      </c>
      <c r="N108" s="1769"/>
      <c r="O108" s="1476" t="s">
        <v>43</v>
      </c>
      <c r="P108" s="1466" t="s">
        <v>108</v>
      </c>
      <c r="Q108" s="1467" t="s">
        <v>360</v>
      </c>
    </row>
    <row r="109" spans="1:17" ht="12.75">
      <c r="A109" s="1367"/>
      <c r="B109" s="1370" t="s">
        <v>885</v>
      </c>
      <c r="C109" s="1372">
        <v>1</v>
      </c>
      <c r="D109" s="1468">
        <v>2</v>
      </c>
      <c r="E109" s="1368">
        <f>D109*2.47891</f>
        <v>4.95782</v>
      </c>
      <c r="F109" s="1468"/>
      <c r="G109" s="1468"/>
      <c r="H109" s="1468"/>
      <c r="I109" s="1477"/>
      <c r="J109" s="1477"/>
      <c r="K109" s="1477"/>
      <c r="L109" s="1477"/>
      <c r="M109" s="1477"/>
      <c r="N109" s="1477"/>
      <c r="O109" s="1477"/>
      <c r="P109" s="1477"/>
      <c r="Q109" s="1478"/>
    </row>
    <row r="110" spans="1:17" ht="13.5" thickBot="1">
      <c r="A110" s="1369"/>
      <c r="B110" s="1371"/>
      <c r="C110" s="142"/>
      <c r="D110" s="1469"/>
      <c r="E110" s="1469"/>
      <c r="F110" s="1469"/>
      <c r="G110" s="1469"/>
      <c r="H110" s="1469"/>
      <c r="I110" s="1469"/>
      <c r="J110" s="1469"/>
      <c r="K110" s="1469"/>
      <c r="L110" s="1469"/>
      <c r="M110" s="1469"/>
      <c r="N110" s="1469"/>
      <c r="O110" s="1469"/>
      <c r="P110" s="1469"/>
      <c r="Q110" s="565"/>
    </row>
  </sheetData>
  <sheetProtection/>
  <autoFilter ref="A12:R12"/>
  <mergeCells count="20">
    <mergeCell ref="B107:B108"/>
    <mergeCell ref="C107:E107"/>
    <mergeCell ref="F107:F108"/>
    <mergeCell ref="G107:I107"/>
    <mergeCell ref="J107:J108"/>
    <mergeCell ref="N10:N11"/>
    <mergeCell ref="O107:Q107"/>
    <mergeCell ref="O10:Q10"/>
    <mergeCell ref="R10:R11"/>
    <mergeCell ref="N107:N108"/>
    <mergeCell ref="C10:E10"/>
    <mergeCell ref="K10:M10"/>
    <mergeCell ref="K107:M107"/>
    <mergeCell ref="G10:I10"/>
    <mergeCell ref="A6:P6"/>
    <mergeCell ref="A7:P7"/>
    <mergeCell ref="A8:P8"/>
    <mergeCell ref="B10:B11"/>
    <mergeCell ref="F10:F11"/>
    <mergeCell ref="J10:J11"/>
  </mergeCells>
  <printOptions horizontalCentered="1"/>
  <pageMargins left="0.2362204724409449" right="0.2362204724409449" top="0.2362204724409449" bottom="0.2362204724409449" header="0" footer="0"/>
  <pageSetup fitToHeight="3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F23"/>
  <sheetViews>
    <sheetView workbookViewId="0" topLeftCell="A1">
      <selection activeCell="G23" sqref="G23:H23"/>
    </sheetView>
  </sheetViews>
  <sheetFormatPr defaultColWidth="9.00390625" defaultRowHeight="12.75"/>
  <cols>
    <col min="1" max="1" width="6.125" style="615" customWidth="1"/>
    <col min="2" max="2" width="29.125" style="68" customWidth="1"/>
    <col min="3" max="3" width="9.875" style="68" customWidth="1"/>
    <col min="4" max="4" width="11.875" style="68" customWidth="1"/>
    <col min="5" max="5" width="24.25390625" style="68" customWidth="1"/>
    <col min="6" max="16384" width="9.125" style="68" customWidth="1"/>
  </cols>
  <sheetData>
    <row r="1" spans="1:5" ht="15.75" customHeight="1">
      <c r="A1" s="145"/>
      <c r="B1" s="67"/>
      <c r="C1" s="1776" t="s">
        <v>772</v>
      </c>
      <c r="D1" s="1776"/>
      <c r="E1" s="1777"/>
    </row>
    <row r="2" spans="1:5" ht="15.75">
      <c r="A2" s="145"/>
      <c r="B2" s="69"/>
      <c r="C2" s="1777"/>
      <c r="D2" s="1777"/>
      <c r="E2" s="1777"/>
    </row>
    <row r="3" spans="1:5" ht="15.75">
      <c r="A3" s="145"/>
      <c r="B3" s="69"/>
      <c r="C3" s="1777"/>
      <c r="D3" s="1777"/>
      <c r="E3" s="1777"/>
    </row>
    <row r="4" spans="1:5" ht="15.75">
      <c r="A4" s="145"/>
      <c r="B4" s="69"/>
      <c r="C4" s="1777"/>
      <c r="D4" s="1777"/>
      <c r="E4" s="1777"/>
    </row>
    <row r="5" spans="1:5" ht="12.75" customHeight="1">
      <c r="A5" s="611"/>
      <c r="B5" s="70"/>
      <c r="C5" s="1777"/>
      <c r="D5" s="1777"/>
      <c r="E5" s="1777"/>
    </row>
    <row r="6" spans="1:5" ht="15" customHeight="1">
      <c r="A6" s="611"/>
      <c r="B6" s="70"/>
      <c r="C6" s="70"/>
      <c r="D6" s="70"/>
      <c r="E6" s="67"/>
    </row>
    <row r="7" spans="1:5" ht="15" customHeight="1">
      <c r="A7" s="611"/>
      <c r="B7" s="71"/>
      <c r="C7" s="71"/>
      <c r="D7" s="71"/>
      <c r="E7" s="67"/>
    </row>
    <row r="8" spans="1:5" ht="24.75" customHeight="1">
      <c r="A8" s="1793" t="s">
        <v>869</v>
      </c>
      <c r="B8" s="1793"/>
      <c r="C8" s="1793"/>
      <c r="D8" s="1793"/>
      <c r="E8" s="1793"/>
    </row>
    <row r="9" spans="1:5" ht="33.75" customHeight="1" thickBot="1">
      <c r="A9" s="1794" t="s">
        <v>35</v>
      </c>
      <c r="B9" s="1794"/>
      <c r="C9" s="1794"/>
      <c r="D9" s="1794"/>
      <c r="E9" s="1794"/>
    </row>
    <row r="10" spans="1:5" ht="15.75" customHeight="1">
      <c r="A10" s="1778" t="s">
        <v>36</v>
      </c>
      <c r="B10" s="1781" t="s">
        <v>3</v>
      </c>
      <c r="C10" s="1784" t="s">
        <v>104</v>
      </c>
      <c r="D10" s="1787" t="s">
        <v>256</v>
      </c>
      <c r="E10" s="1790" t="s">
        <v>38</v>
      </c>
    </row>
    <row r="11" spans="1:5" s="72" customFormat="1" ht="24.75" customHeight="1">
      <c r="A11" s="1779"/>
      <c r="B11" s="1782"/>
      <c r="C11" s="1785"/>
      <c r="D11" s="1788"/>
      <c r="E11" s="1791"/>
    </row>
    <row r="12" spans="1:6" s="72" customFormat="1" ht="13.5" customHeight="1" thickBot="1">
      <c r="A12" s="1780"/>
      <c r="B12" s="1783"/>
      <c r="C12" s="1786"/>
      <c r="D12" s="1789"/>
      <c r="E12" s="1792"/>
      <c r="F12" s="73"/>
    </row>
    <row r="13" spans="1:5" ht="15.75">
      <c r="A13" s="612">
        <v>1</v>
      </c>
      <c r="B13" s="749" t="s">
        <v>556</v>
      </c>
      <c r="C13" s="750">
        <v>3</v>
      </c>
      <c r="D13" s="751">
        <f aca="true" t="shared" si="0" ref="D13:D18">C13*4.236</f>
        <v>12.707999999999998</v>
      </c>
      <c r="E13" s="1260" t="s">
        <v>557</v>
      </c>
    </row>
    <row r="14" spans="1:5" ht="15.75">
      <c r="A14" s="613">
        <f>A13+1</f>
        <v>2</v>
      </c>
      <c r="B14" s="752" t="s">
        <v>518</v>
      </c>
      <c r="C14" s="753">
        <v>10</v>
      </c>
      <c r="D14" s="751">
        <f t="shared" si="0"/>
        <v>42.36</v>
      </c>
      <c r="E14" s="1261" t="s">
        <v>517</v>
      </c>
    </row>
    <row r="15" spans="1:5" ht="15.75">
      <c r="A15" s="613">
        <f>A14+1</f>
        <v>3</v>
      </c>
      <c r="B15" s="752" t="s">
        <v>655</v>
      </c>
      <c r="C15" s="753">
        <v>7</v>
      </c>
      <c r="D15" s="751">
        <f t="shared" si="0"/>
        <v>29.651999999999997</v>
      </c>
      <c r="E15" s="1261" t="s">
        <v>510</v>
      </c>
    </row>
    <row r="16" spans="1:5" ht="15.75">
      <c r="A16" s="613">
        <f>A15+1</f>
        <v>4</v>
      </c>
      <c r="B16" s="752" t="s">
        <v>656</v>
      </c>
      <c r="C16" s="753">
        <v>6</v>
      </c>
      <c r="D16" s="751">
        <f t="shared" si="0"/>
        <v>25.415999999999997</v>
      </c>
      <c r="E16" s="1261" t="s">
        <v>510</v>
      </c>
    </row>
    <row r="17" spans="1:5" ht="15.75">
      <c r="A17" s="613">
        <f>A16+1</f>
        <v>5</v>
      </c>
      <c r="B17" s="752" t="s">
        <v>508</v>
      </c>
      <c r="C17" s="753">
        <v>10</v>
      </c>
      <c r="D17" s="751">
        <f t="shared" si="0"/>
        <v>42.36</v>
      </c>
      <c r="E17" s="1261" t="s">
        <v>517</v>
      </c>
    </row>
    <row r="18" spans="1:5" ht="16.5" thickBot="1">
      <c r="A18" s="613">
        <f>A17+1</f>
        <v>6</v>
      </c>
      <c r="B18" s="752" t="s">
        <v>509</v>
      </c>
      <c r="C18" s="753">
        <v>2</v>
      </c>
      <c r="D18" s="751">
        <f t="shared" si="0"/>
        <v>8.472</v>
      </c>
      <c r="E18" s="1261" t="s">
        <v>510</v>
      </c>
    </row>
    <row r="19" spans="1:5" ht="16.5" thickBot="1">
      <c r="A19" s="614"/>
      <c r="B19" s="74" t="s">
        <v>132</v>
      </c>
      <c r="C19" s="754">
        <f>SUM(C13:C18)</f>
        <v>38</v>
      </c>
      <c r="D19" s="755">
        <f>SUM(D13:D18)</f>
        <v>160.968</v>
      </c>
      <c r="E19" s="75"/>
    </row>
    <row r="20" spans="1:5" ht="15.75">
      <c r="A20" s="756"/>
      <c r="B20" s="757"/>
      <c r="C20" s="758"/>
      <c r="D20" s="759"/>
      <c r="E20" s="760"/>
    </row>
    <row r="21" spans="1:5" ht="15.75">
      <c r="A21" s="756"/>
      <c r="B21" s="757"/>
      <c r="C21" s="758"/>
      <c r="D21" s="759"/>
      <c r="E21" s="760"/>
    </row>
    <row r="22" spans="1:5" ht="15.75">
      <c r="A22" s="145"/>
      <c r="B22" s="67"/>
      <c r="C22" s="67"/>
      <c r="D22" s="67"/>
      <c r="E22" s="67"/>
    </row>
    <row r="23" spans="1:5" ht="15.75">
      <c r="A23" s="145"/>
      <c r="B23" s="67" t="s">
        <v>31</v>
      </c>
      <c r="C23" s="66"/>
      <c r="D23" s="66" t="s">
        <v>32</v>
      </c>
      <c r="E23" s="67"/>
    </row>
  </sheetData>
  <sheetProtection/>
  <mergeCells count="8">
    <mergeCell ref="C1:E5"/>
    <mergeCell ref="A10:A12"/>
    <mergeCell ref="B10:B12"/>
    <mergeCell ref="C10:C12"/>
    <mergeCell ref="D10:D12"/>
    <mergeCell ref="E10:E12"/>
    <mergeCell ref="A8:E8"/>
    <mergeCell ref="A9:E9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2:H51"/>
  <sheetViews>
    <sheetView zoomScalePageLayoutView="0" workbookViewId="0" topLeftCell="A13">
      <selection activeCell="M23" sqref="M23"/>
    </sheetView>
  </sheetViews>
  <sheetFormatPr defaultColWidth="9.00390625" defaultRowHeight="12.75"/>
  <cols>
    <col min="1" max="1" width="6.625" style="0" customWidth="1"/>
    <col min="2" max="2" width="4.375" style="0" customWidth="1"/>
    <col min="3" max="3" width="26.375" style="0" customWidth="1"/>
    <col min="4" max="4" width="9.625" style="0" bestFit="1" customWidth="1"/>
    <col min="6" max="6" width="15.125" style="0" customWidth="1"/>
    <col min="7" max="7" width="30.375" style="0" customWidth="1"/>
  </cols>
  <sheetData>
    <row r="2" spans="2:7" ht="15.75" customHeight="1">
      <c r="B2" s="18"/>
      <c r="C2" s="7"/>
      <c r="D2" s="1797" t="s">
        <v>870</v>
      </c>
      <c r="E2" s="1797"/>
      <c r="F2" s="1797"/>
      <c r="G2" s="1797"/>
    </row>
    <row r="3" spans="2:7" ht="15.75">
      <c r="B3" s="18"/>
      <c r="C3" s="7"/>
      <c r="D3" s="1797"/>
      <c r="E3" s="1797"/>
      <c r="F3" s="1797"/>
      <c r="G3" s="1797"/>
    </row>
    <row r="4" spans="2:7" ht="15.75">
      <c r="B4" s="18"/>
      <c r="C4" s="7"/>
      <c r="D4" s="1797"/>
      <c r="E4" s="1797"/>
      <c r="F4" s="1797"/>
      <c r="G4" s="1797"/>
    </row>
    <row r="5" spans="2:7" ht="15.75">
      <c r="B5" s="18"/>
      <c r="C5" s="7"/>
      <c r="D5" s="1797"/>
      <c r="E5" s="1797"/>
      <c r="F5" s="1797"/>
      <c r="G5" s="1797"/>
    </row>
    <row r="6" spans="2:7" ht="15.75">
      <c r="B6" s="1757" t="s">
        <v>238</v>
      </c>
      <c r="C6" s="1757"/>
      <c r="D6" s="1757"/>
      <c r="E6" s="1757"/>
      <c r="F6" s="1757"/>
      <c r="G6" s="1757"/>
    </row>
    <row r="7" spans="2:7" ht="12.75">
      <c r="B7" s="1806" t="s">
        <v>871</v>
      </c>
      <c r="C7" s="1806"/>
      <c r="D7" s="1806"/>
      <c r="E7" s="1806"/>
      <c r="F7" s="1806"/>
      <c r="G7" s="1806"/>
    </row>
    <row r="8" spans="2:8" ht="13.5" thickBot="1">
      <c r="B8" s="661"/>
      <c r="C8" s="662"/>
      <c r="D8" s="662"/>
      <c r="E8" s="662"/>
      <c r="F8" s="662"/>
      <c r="G8" s="662"/>
      <c r="H8" s="3"/>
    </row>
    <row r="9" spans="2:8" ht="12.75">
      <c r="B9" s="876" t="s">
        <v>36</v>
      </c>
      <c r="C9" s="1798" t="s">
        <v>3</v>
      </c>
      <c r="D9" s="1800" t="s">
        <v>43</v>
      </c>
      <c r="E9" s="1802" t="s">
        <v>108</v>
      </c>
      <c r="F9" s="1804" t="s">
        <v>358</v>
      </c>
      <c r="G9" s="1795" t="s">
        <v>107</v>
      </c>
      <c r="H9" s="3"/>
    </row>
    <row r="10" spans="2:8" ht="13.5" thickBot="1">
      <c r="B10" s="877" t="s">
        <v>258</v>
      </c>
      <c r="C10" s="1799"/>
      <c r="D10" s="1801"/>
      <c r="E10" s="1803"/>
      <c r="F10" s="1805"/>
      <c r="G10" s="1796"/>
      <c r="H10" s="3"/>
    </row>
    <row r="11" spans="2:8" ht="12.75">
      <c r="B11" s="878">
        <f>1</f>
        <v>1</v>
      </c>
      <c r="C11" s="1306" t="s">
        <v>722</v>
      </c>
      <c r="D11" s="1307">
        <v>1</v>
      </c>
      <c r="E11" s="1308">
        <v>3</v>
      </c>
      <c r="F11" s="1309">
        <f>E11*1.659879</f>
        <v>4.979637</v>
      </c>
      <c r="G11" s="1310" t="s">
        <v>723</v>
      </c>
      <c r="H11" s="3"/>
    </row>
    <row r="12" spans="2:8" ht="12.75">
      <c r="B12" s="878">
        <f>B11+1</f>
        <v>2</v>
      </c>
      <c r="C12" s="1306" t="s">
        <v>25</v>
      </c>
      <c r="D12" s="1307">
        <v>10</v>
      </c>
      <c r="E12" s="1308">
        <v>9.6</v>
      </c>
      <c r="F12" s="1309">
        <f aca="true" t="shared" si="0" ref="F12:F43">E12*1.659879</f>
        <v>15.9348384</v>
      </c>
      <c r="G12" s="1311" t="s">
        <v>413</v>
      </c>
      <c r="H12" s="3"/>
    </row>
    <row r="13" spans="2:8" ht="12.75">
      <c r="B13" s="878">
        <f aca="true" t="shared" si="1" ref="B13:B43">B12+1</f>
        <v>3</v>
      </c>
      <c r="C13" s="1306" t="s">
        <v>26</v>
      </c>
      <c r="D13" s="1307">
        <v>1</v>
      </c>
      <c r="E13" s="1308">
        <v>2.7</v>
      </c>
      <c r="F13" s="1309">
        <f t="shared" si="0"/>
        <v>4.481673300000001</v>
      </c>
      <c r="G13" s="1312" t="s">
        <v>412</v>
      </c>
      <c r="H13" s="3"/>
    </row>
    <row r="14" spans="2:8" ht="12.75">
      <c r="B14" s="878">
        <f t="shared" si="1"/>
        <v>4</v>
      </c>
      <c r="C14" s="1306" t="s">
        <v>711</v>
      </c>
      <c r="D14" s="1307">
        <v>1</v>
      </c>
      <c r="E14" s="1308">
        <v>8.2</v>
      </c>
      <c r="F14" s="1309">
        <f t="shared" si="0"/>
        <v>13.6110078</v>
      </c>
      <c r="G14" s="1312" t="s">
        <v>712</v>
      </c>
      <c r="H14" s="3"/>
    </row>
    <row r="15" spans="2:8" ht="12.75">
      <c r="B15" s="878">
        <f t="shared" si="1"/>
        <v>5</v>
      </c>
      <c r="C15" s="1306" t="s">
        <v>630</v>
      </c>
      <c r="D15" s="1307">
        <v>1</v>
      </c>
      <c r="E15" s="1308">
        <v>3</v>
      </c>
      <c r="F15" s="1309">
        <f t="shared" si="0"/>
        <v>4.979637</v>
      </c>
      <c r="G15" s="1312" t="s">
        <v>713</v>
      </c>
      <c r="H15" s="3"/>
    </row>
    <row r="16" spans="2:8" ht="12.75">
      <c r="B16" s="878">
        <f t="shared" si="1"/>
        <v>6</v>
      </c>
      <c r="C16" s="1306" t="s">
        <v>716</v>
      </c>
      <c r="D16" s="1307">
        <v>3</v>
      </c>
      <c r="E16" s="1308">
        <v>9</v>
      </c>
      <c r="F16" s="1309">
        <f t="shared" si="0"/>
        <v>14.938911000000001</v>
      </c>
      <c r="G16" s="1312"/>
      <c r="H16" s="3"/>
    </row>
    <row r="17" spans="2:8" ht="12.75">
      <c r="B17" s="878">
        <f t="shared" si="1"/>
        <v>7</v>
      </c>
      <c r="C17" s="1306" t="s">
        <v>27</v>
      </c>
      <c r="D17" s="1307">
        <v>2</v>
      </c>
      <c r="E17" s="1308">
        <v>7</v>
      </c>
      <c r="F17" s="1309">
        <f t="shared" si="0"/>
        <v>11.619153</v>
      </c>
      <c r="G17" s="1313"/>
      <c r="H17" s="3"/>
    </row>
    <row r="18" spans="2:8" ht="12.75">
      <c r="B18" s="878">
        <f t="shared" si="1"/>
        <v>8</v>
      </c>
      <c r="C18" s="1306" t="s">
        <v>586</v>
      </c>
      <c r="D18" s="1307">
        <v>2</v>
      </c>
      <c r="E18" s="1308">
        <v>10</v>
      </c>
      <c r="F18" s="1309">
        <f t="shared" si="0"/>
        <v>16.59879</v>
      </c>
      <c r="G18" s="1314"/>
      <c r="H18" s="3"/>
    </row>
    <row r="19" spans="2:8" ht="12.75">
      <c r="B19" s="878">
        <f t="shared" si="1"/>
        <v>9</v>
      </c>
      <c r="C19" s="880" t="s">
        <v>587</v>
      </c>
      <c r="D19" s="879">
        <v>2</v>
      </c>
      <c r="E19" s="1315">
        <v>15</v>
      </c>
      <c r="F19" s="1309">
        <f t="shared" si="0"/>
        <v>24.898185</v>
      </c>
      <c r="G19" s="1314"/>
      <c r="H19" s="3"/>
    </row>
    <row r="20" spans="2:8" ht="12.75">
      <c r="B20" s="878">
        <f t="shared" si="1"/>
        <v>10</v>
      </c>
      <c r="C20" s="880" t="s">
        <v>582</v>
      </c>
      <c r="D20" s="879">
        <v>3</v>
      </c>
      <c r="E20" s="1315">
        <v>5</v>
      </c>
      <c r="F20" s="1309">
        <f t="shared" si="0"/>
        <v>8.299395</v>
      </c>
      <c r="G20" s="1314"/>
      <c r="H20" s="3"/>
    </row>
    <row r="21" spans="2:8" ht="12.75">
      <c r="B21" s="878">
        <f t="shared" si="1"/>
        <v>11</v>
      </c>
      <c r="C21" s="880" t="s">
        <v>473</v>
      </c>
      <c r="D21" s="879">
        <v>1</v>
      </c>
      <c r="E21" s="1315">
        <v>2.3</v>
      </c>
      <c r="F21" s="1309">
        <f t="shared" si="0"/>
        <v>3.8177217</v>
      </c>
      <c r="G21" s="1314" t="s">
        <v>474</v>
      </c>
      <c r="H21" s="3"/>
    </row>
    <row r="22" spans="2:8" ht="12.75">
      <c r="B22" s="878">
        <f t="shared" si="1"/>
        <v>12</v>
      </c>
      <c r="C22" s="880" t="s">
        <v>440</v>
      </c>
      <c r="D22" s="879">
        <v>2</v>
      </c>
      <c r="E22" s="1315">
        <v>6</v>
      </c>
      <c r="F22" s="1309">
        <f t="shared" si="0"/>
        <v>9.959274</v>
      </c>
      <c r="G22" s="1314" t="s">
        <v>441</v>
      </c>
      <c r="H22" s="3"/>
    </row>
    <row r="23" spans="2:8" ht="12.75">
      <c r="B23" s="878">
        <f t="shared" si="1"/>
        <v>13</v>
      </c>
      <c r="C23" s="880" t="s">
        <v>431</v>
      </c>
      <c r="D23" s="879">
        <v>1</v>
      </c>
      <c r="E23" s="1315">
        <v>3</v>
      </c>
      <c r="F23" s="1309">
        <f t="shared" si="0"/>
        <v>4.979637</v>
      </c>
      <c r="G23" s="1314" t="s">
        <v>435</v>
      </c>
      <c r="H23" s="3"/>
    </row>
    <row r="24" spans="2:8" ht="12.75">
      <c r="B24" s="878">
        <f t="shared" si="1"/>
        <v>14</v>
      </c>
      <c r="C24" s="880" t="s">
        <v>46</v>
      </c>
      <c r="D24" s="879">
        <v>1</v>
      </c>
      <c r="E24" s="1315">
        <v>3</v>
      </c>
      <c r="F24" s="1309">
        <f t="shared" si="0"/>
        <v>4.979637</v>
      </c>
      <c r="G24" s="1314" t="s">
        <v>391</v>
      </c>
      <c r="H24" s="3"/>
    </row>
    <row r="25" spans="2:8" ht="12.75">
      <c r="B25" s="878">
        <f t="shared" si="1"/>
        <v>15</v>
      </c>
      <c r="C25" s="880" t="s">
        <v>598</v>
      </c>
      <c r="D25" s="879">
        <v>6</v>
      </c>
      <c r="E25" s="1315">
        <v>20</v>
      </c>
      <c r="F25" s="1309">
        <f t="shared" si="0"/>
        <v>33.19758</v>
      </c>
      <c r="G25" s="1314"/>
      <c r="H25" s="3"/>
    </row>
    <row r="26" spans="2:8" ht="12.75">
      <c r="B26" s="878">
        <f t="shared" si="1"/>
        <v>16</v>
      </c>
      <c r="C26" s="880" t="s">
        <v>589</v>
      </c>
      <c r="D26" s="879">
        <v>1</v>
      </c>
      <c r="E26" s="1315">
        <v>5</v>
      </c>
      <c r="F26" s="1309">
        <f t="shared" si="0"/>
        <v>8.299395</v>
      </c>
      <c r="G26" s="1314"/>
      <c r="H26" s="3"/>
    </row>
    <row r="27" spans="2:8" ht="12.75">
      <c r="B27" s="878">
        <f t="shared" si="1"/>
        <v>17</v>
      </c>
      <c r="C27" s="880" t="s">
        <v>741</v>
      </c>
      <c r="D27" s="879">
        <v>1</v>
      </c>
      <c r="E27" s="1315">
        <v>3</v>
      </c>
      <c r="F27" s="1309">
        <f t="shared" si="0"/>
        <v>4.979637</v>
      </c>
      <c r="G27" s="1314" t="s">
        <v>742</v>
      </c>
      <c r="H27" s="3"/>
    </row>
    <row r="28" spans="2:8" ht="12.75">
      <c r="B28" s="878">
        <f t="shared" si="1"/>
        <v>18</v>
      </c>
      <c r="C28" s="880" t="s">
        <v>576</v>
      </c>
      <c r="D28" s="879">
        <v>2</v>
      </c>
      <c r="E28" s="1315">
        <v>5</v>
      </c>
      <c r="F28" s="1309">
        <f t="shared" si="0"/>
        <v>8.299395</v>
      </c>
      <c r="G28" s="1314"/>
      <c r="H28" s="3"/>
    </row>
    <row r="29" spans="2:8" ht="12.75">
      <c r="B29" s="878">
        <f t="shared" si="1"/>
        <v>19</v>
      </c>
      <c r="C29" s="880" t="s">
        <v>573</v>
      </c>
      <c r="D29" s="879">
        <v>6</v>
      </c>
      <c r="E29" s="1315">
        <v>10</v>
      </c>
      <c r="F29" s="1309">
        <f t="shared" si="0"/>
        <v>16.59879</v>
      </c>
      <c r="G29" s="1314"/>
      <c r="H29" s="3"/>
    </row>
    <row r="30" spans="2:8" ht="22.5">
      <c r="B30" s="878">
        <f t="shared" si="1"/>
        <v>20</v>
      </c>
      <c r="C30" s="880" t="s">
        <v>558</v>
      </c>
      <c r="D30" s="1303">
        <v>4</v>
      </c>
      <c r="E30" s="1304">
        <v>8</v>
      </c>
      <c r="F30" s="1309">
        <f t="shared" si="0"/>
        <v>13.279032</v>
      </c>
      <c r="G30" s="1305" t="s">
        <v>882</v>
      </c>
      <c r="H30" s="3"/>
    </row>
    <row r="31" spans="2:8" ht="12.75">
      <c r="B31" s="878">
        <f t="shared" si="1"/>
        <v>21</v>
      </c>
      <c r="C31" s="880" t="s">
        <v>560</v>
      </c>
      <c r="D31" s="879">
        <v>4</v>
      </c>
      <c r="E31" s="1315">
        <v>8</v>
      </c>
      <c r="F31" s="1309">
        <f t="shared" si="0"/>
        <v>13.279032</v>
      </c>
      <c r="G31" s="1314"/>
      <c r="H31" s="3"/>
    </row>
    <row r="32" spans="2:8" ht="12.75">
      <c r="B32" s="878">
        <f t="shared" si="1"/>
        <v>22</v>
      </c>
      <c r="C32" s="880" t="s">
        <v>561</v>
      </c>
      <c r="D32" s="879">
        <v>4</v>
      </c>
      <c r="E32" s="1315">
        <v>8</v>
      </c>
      <c r="F32" s="1309">
        <f t="shared" si="0"/>
        <v>13.279032</v>
      </c>
      <c r="G32" s="1314" t="s">
        <v>559</v>
      </c>
      <c r="H32" s="3"/>
    </row>
    <row r="33" spans="2:8" ht="12.75">
      <c r="B33" s="878">
        <f t="shared" si="1"/>
        <v>23</v>
      </c>
      <c r="C33" s="880" t="s">
        <v>513</v>
      </c>
      <c r="D33" s="879">
        <v>1</v>
      </c>
      <c r="E33" s="1315">
        <v>3</v>
      </c>
      <c r="F33" s="1309">
        <f t="shared" si="0"/>
        <v>4.979637</v>
      </c>
      <c r="G33" s="1314"/>
      <c r="H33" s="3"/>
    </row>
    <row r="34" spans="2:8" ht="12.75">
      <c r="B34" s="878">
        <f t="shared" si="1"/>
        <v>24</v>
      </c>
      <c r="C34" s="880" t="s">
        <v>657</v>
      </c>
      <c r="D34" s="879">
        <v>1</v>
      </c>
      <c r="E34" s="1315">
        <v>3</v>
      </c>
      <c r="F34" s="1309">
        <f t="shared" si="0"/>
        <v>4.979637</v>
      </c>
      <c r="G34" s="1314" t="s">
        <v>658</v>
      </c>
      <c r="H34" s="3"/>
    </row>
    <row r="35" spans="2:8" ht="12.75">
      <c r="B35" s="878">
        <f t="shared" si="1"/>
        <v>25</v>
      </c>
      <c r="C35" s="807" t="s">
        <v>660</v>
      </c>
      <c r="D35" s="879">
        <v>1</v>
      </c>
      <c r="E35" s="1315">
        <v>1.5</v>
      </c>
      <c r="F35" s="1309">
        <f t="shared" si="0"/>
        <v>2.4898185</v>
      </c>
      <c r="G35" s="1314" t="s">
        <v>661</v>
      </c>
      <c r="H35" s="3"/>
    </row>
    <row r="36" spans="2:8" ht="12.75">
      <c r="B36" s="878">
        <f t="shared" si="1"/>
        <v>26</v>
      </c>
      <c r="C36" s="880" t="s">
        <v>677</v>
      </c>
      <c r="D36" s="879">
        <v>2</v>
      </c>
      <c r="E36" s="1315">
        <v>6</v>
      </c>
      <c r="F36" s="1309">
        <f t="shared" si="0"/>
        <v>9.959274</v>
      </c>
      <c r="G36" s="1314"/>
      <c r="H36" s="3"/>
    </row>
    <row r="37" spans="2:8" ht="12.75">
      <c r="B37" s="878">
        <f t="shared" si="1"/>
        <v>27</v>
      </c>
      <c r="C37" s="880" t="s">
        <v>492</v>
      </c>
      <c r="D37" s="879">
        <v>1</v>
      </c>
      <c r="E37" s="1315">
        <v>12</v>
      </c>
      <c r="F37" s="1309">
        <f t="shared" si="0"/>
        <v>19.918548</v>
      </c>
      <c r="G37" s="1314" t="s">
        <v>493</v>
      </c>
      <c r="H37" s="3"/>
    </row>
    <row r="38" spans="2:8" ht="12.75">
      <c r="B38" s="878">
        <f t="shared" si="1"/>
        <v>28</v>
      </c>
      <c r="C38" s="880" t="s">
        <v>546</v>
      </c>
      <c r="D38" s="879">
        <v>1</v>
      </c>
      <c r="E38" s="1315">
        <v>2.7</v>
      </c>
      <c r="F38" s="1309">
        <f t="shared" si="0"/>
        <v>4.481673300000001</v>
      </c>
      <c r="G38" s="1314" t="s">
        <v>548</v>
      </c>
      <c r="H38" s="3"/>
    </row>
    <row r="39" spans="2:8" ht="12.75">
      <c r="B39" s="878">
        <f t="shared" si="1"/>
        <v>29</v>
      </c>
      <c r="C39" s="880" t="s">
        <v>494</v>
      </c>
      <c r="D39" s="879">
        <v>4</v>
      </c>
      <c r="E39" s="1315">
        <v>120</v>
      </c>
      <c r="F39" s="1309">
        <f t="shared" si="0"/>
        <v>199.18548</v>
      </c>
      <c r="G39" s="1314" t="s">
        <v>495</v>
      </c>
      <c r="H39" s="3"/>
    </row>
    <row r="40" spans="2:8" ht="12.75">
      <c r="B40" s="878">
        <f t="shared" si="1"/>
        <v>30</v>
      </c>
      <c r="C40" s="880" t="s">
        <v>466</v>
      </c>
      <c r="D40" s="879">
        <v>2</v>
      </c>
      <c r="E40" s="1315">
        <v>16</v>
      </c>
      <c r="F40" s="1309">
        <f t="shared" si="0"/>
        <v>26.558064</v>
      </c>
      <c r="G40" s="1314" t="s">
        <v>467</v>
      </c>
      <c r="H40" s="3"/>
    </row>
    <row r="41" spans="2:8" ht="12.75">
      <c r="B41" s="878">
        <f t="shared" si="1"/>
        <v>31</v>
      </c>
      <c r="C41" s="880" t="s">
        <v>531</v>
      </c>
      <c r="D41" s="879">
        <v>3</v>
      </c>
      <c r="E41" s="1315">
        <v>3</v>
      </c>
      <c r="F41" s="1309">
        <f t="shared" si="0"/>
        <v>4.979637</v>
      </c>
      <c r="G41" s="1314"/>
      <c r="H41" s="3"/>
    </row>
    <row r="42" spans="2:8" ht="12.75">
      <c r="B42" s="878">
        <f t="shared" si="1"/>
        <v>32</v>
      </c>
      <c r="C42" s="880" t="s">
        <v>460</v>
      </c>
      <c r="D42" s="879">
        <v>3</v>
      </c>
      <c r="E42" s="1315">
        <v>24</v>
      </c>
      <c r="F42" s="1309">
        <f t="shared" si="0"/>
        <v>39.837096</v>
      </c>
      <c r="G42" s="1314" t="s">
        <v>435</v>
      </c>
      <c r="H42" s="3"/>
    </row>
    <row r="43" spans="2:8" ht="13.5" thickBot="1">
      <c r="B43" s="878">
        <f t="shared" si="1"/>
        <v>33</v>
      </c>
      <c r="C43" s="880" t="s">
        <v>507</v>
      </c>
      <c r="D43" s="879">
        <v>2</v>
      </c>
      <c r="E43" s="1315">
        <v>3</v>
      </c>
      <c r="F43" s="1309">
        <f t="shared" si="0"/>
        <v>4.979637</v>
      </c>
      <c r="G43" s="1314" t="s">
        <v>435</v>
      </c>
      <c r="H43" s="3"/>
    </row>
    <row r="44" spans="2:8" ht="13.5" thickBot="1">
      <c r="B44" s="710"/>
      <c r="C44" s="1316" t="s">
        <v>132</v>
      </c>
      <c r="D44" s="1316">
        <f>SUM(D11:D43)</f>
        <v>80</v>
      </c>
      <c r="E44" s="1316">
        <f>SUM(E11:E43)</f>
        <v>348</v>
      </c>
      <c r="F44" s="1317">
        <f>SUM(F11:F43)</f>
        <v>577.6378920000002</v>
      </c>
      <c r="G44" s="1318"/>
      <c r="H44" s="3"/>
    </row>
    <row r="45" ht="12.75">
      <c r="B45" s="16"/>
    </row>
    <row r="46" spans="2:4" ht="12.75">
      <c r="B46" s="16"/>
      <c r="D46" s="51"/>
    </row>
    <row r="47" ht="12.75">
      <c r="B47" s="16"/>
    </row>
    <row r="48" spans="2:5" ht="12.75">
      <c r="B48" s="16"/>
      <c r="C48" s="761" t="s">
        <v>236</v>
      </c>
      <c r="E48" t="s">
        <v>356</v>
      </c>
    </row>
    <row r="49" ht="12.75">
      <c r="B49" s="16"/>
    </row>
    <row r="50" ht="12.75">
      <c r="B50" s="16"/>
    </row>
    <row r="51" ht="12.75">
      <c r="B51" s="16"/>
    </row>
  </sheetData>
  <sheetProtection/>
  <mergeCells count="8">
    <mergeCell ref="G9:G10"/>
    <mergeCell ref="B6:G6"/>
    <mergeCell ref="D2:G5"/>
    <mergeCell ref="C9:C10"/>
    <mergeCell ref="D9:D10"/>
    <mergeCell ref="E9:E10"/>
    <mergeCell ref="F9:F10"/>
    <mergeCell ref="B7:G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B1:L70"/>
  <sheetViews>
    <sheetView zoomScale="120" zoomScaleNormal="120" zoomScalePageLayoutView="0" workbookViewId="0" topLeftCell="A53">
      <selection activeCell="C86" sqref="C86"/>
    </sheetView>
  </sheetViews>
  <sheetFormatPr defaultColWidth="9.00390625" defaultRowHeight="12.75"/>
  <cols>
    <col min="2" max="2" width="6.625" style="0" customWidth="1"/>
    <col min="3" max="3" width="24.00390625" style="0" customWidth="1"/>
    <col min="4" max="4" width="9.75390625" style="0" customWidth="1"/>
    <col min="5" max="5" width="8.125" style="0" customWidth="1"/>
    <col min="6" max="6" width="8.625" style="0" customWidth="1"/>
    <col min="7" max="7" width="9.375" style="0" customWidth="1"/>
    <col min="8" max="8" width="7.875" style="0" customWidth="1"/>
    <col min="9" max="9" width="9.625" style="0" customWidth="1"/>
    <col min="10" max="10" width="31.75390625" style="0" customWidth="1"/>
  </cols>
  <sheetData>
    <row r="1" spans="2:10" ht="15" customHeight="1">
      <c r="B1" s="1"/>
      <c r="C1" s="1"/>
      <c r="D1" s="1"/>
      <c r="E1" s="1"/>
      <c r="F1" s="1"/>
      <c r="G1" s="1033"/>
      <c r="H1" s="1033"/>
      <c r="I1" s="1569" t="s">
        <v>0</v>
      </c>
      <c r="J1" s="1569"/>
    </row>
    <row r="2" spans="2:10" ht="15" customHeight="1">
      <c r="B2" s="1"/>
      <c r="C2" s="1"/>
      <c r="D2" s="1"/>
      <c r="E2" s="1"/>
      <c r="F2" s="1"/>
      <c r="G2" s="1033"/>
      <c r="H2" s="1033"/>
      <c r="I2" s="1569" t="s">
        <v>1</v>
      </c>
      <c r="J2" s="1569"/>
    </row>
    <row r="3" spans="2:10" ht="15" customHeight="1">
      <c r="B3" s="1"/>
      <c r="C3" s="1"/>
      <c r="D3" s="1"/>
      <c r="E3" s="1"/>
      <c r="F3" s="1"/>
      <c r="G3" s="1033"/>
      <c r="H3" s="1033"/>
      <c r="I3" s="1569" t="s">
        <v>35</v>
      </c>
      <c r="J3" s="1569"/>
    </row>
    <row r="4" spans="2:10" ht="16.5" customHeight="1">
      <c r="B4" s="1"/>
      <c r="C4" s="1"/>
      <c r="D4" s="1"/>
      <c r="E4" s="1"/>
      <c r="F4" s="1"/>
      <c r="G4" s="1033"/>
      <c r="H4" s="1033"/>
      <c r="I4" s="1569" t="s">
        <v>382</v>
      </c>
      <c r="J4" s="1569"/>
    </row>
    <row r="5" spans="2:10" ht="6.75" customHeight="1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1570" t="s">
        <v>238</v>
      </c>
      <c r="C6" s="1570"/>
      <c r="D6" s="1570"/>
      <c r="E6" s="1570"/>
      <c r="F6" s="1570"/>
      <c r="G6" s="1570"/>
      <c r="H6" s="1570"/>
      <c r="I6" s="1570"/>
      <c r="J6" s="1570"/>
    </row>
    <row r="7" spans="2:10" ht="12.75">
      <c r="B7" s="1571" t="s">
        <v>385</v>
      </c>
      <c r="C7" s="1571"/>
      <c r="D7" s="1571"/>
      <c r="E7" s="1571"/>
      <c r="F7" s="1571"/>
      <c r="G7" s="1571"/>
      <c r="H7" s="1571"/>
      <c r="I7" s="1571"/>
      <c r="J7" s="1571"/>
    </row>
    <row r="8" spans="2:10" ht="6" customHeight="1" thickBot="1">
      <c r="B8" s="1034"/>
      <c r="C8" s="1034"/>
      <c r="D8" s="1034"/>
      <c r="E8" s="1034"/>
      <c r="F8" s="1034"/>
      <c r="G8" s="1034"/>
      <c r="H8" s="1034"/>
      <c r="I8" s="1034"/>
      <c r="J8" s="1034"/>
    </row>
    <row r="9" spans="2:10" ht="12.75" customHeight="1">
      <c r="B9" s="1578" t="s">
        <v>2</v>
      </c>
      <c r="C9" s="1580" t="s">
        <v>3</v>
      </c>
      <c r="D9" s="1582" t="s">
        <v>4</v>
      </c>
      <c r="E9" s="1584" t="s">
        <v>5</v>
      </c>
      <c r="F9" s="1586" t="s">
        <v>7</v>
      </c>
      <c r="G9" s="1587"/>
      <c r="H9" s="1586" t="s">
        <v>251</v>
      </c>
      <c r="I9" s="1588"/>
      <c r="J9" s="1572" t="s">
        <v>38</v>
      </c>
    </row>
    <row r="10" spans="2:10" ht="12.75" customHeight="1" thickBot="1">
      <c r="B10" s="1579"/>
      <c r="C10" s="1581"/>
      <c r="D10" s="1583"/>
      <c r="E10" s="1585"/>
      <c r="F10" s="566" t="s">
        <v>9</v>
      </c>
      <c r="G10" s="567" t="s">
        <v>10</v>
      </c>
      <c r="H10" s="566" t="s">
        <v>9</v>
      </c>
      <c r="I10" s="571" t="s">
        <v>10</v>
      </c>
      <c r="J10" s="1573"/>
    </row>
    <row r="11" spans="2:10" ht="12.75" customHeight="1" thickBot="1">
      <c r="B11" s="942"/>
      <c r="C11" s="1035" t="s">
        <v>11</v>
      </c>
      <c r="D11" s="1084"/>
      <c r="E11" s="1036"/>
      <c r="F11" s="568"/>
      <c r="G11" s="569"/>
      <c r="H11" s="1037"/>
      <c r="I11" s="572"/>
      <c r="J11" s="140"/>
    </row>
    <row r="12" spans="2:10" ht="15" customHeight="1">
      <c r="B12" s="1038">
        <f aca="true" t="shared" si="0" ref="B12:B35">B11+1</f>
        <v>1</v>
      </c>
      <c r="C12" s="1039" t="s">
        <v>444</v>
      </c>
      <c r="D12" s="1040" t="s">
        <v>386</v>
      </c>
      <c r="E12" s="1041">
        <v>10</v>
      </c>
      <c r="F12" s="801"/>
      <c r="G12" s="1042"/>
      <c r="H12" s="801">
        <v>0.01</v>
      </c>
      <c r="I12" s="1042">
        <v>11.46804</v>
      </c>
      <c r="J12" s="1043" t="s">
        <v>445</v>
      </c>
    </row>
    <row r="13" spans="2:10" ht="15" customHeight="1">
      <c r="B13" s="1038">
        <f t="shared" si="0"/>
        <v>2</v>
      </c>
      <c r="C13" s="1044" t="s">
        <v>26</v>
      </c>
      <c r="D13" s="1040" t="s">
        <v>386</v>
      </c>
      <c r="E13" s="1045">
        <v>50</v>
      </c>
      <c r="F13" s="801"/>
      <c r="G13" s="1042"/>
      <c r="H13" s="801">
        <v>0.05</v>
      </c>
      <c r="I13" s="1042">
        <v>57.34020000000001</v>
      </c>
      <c r="J13" s="1046" t="s">
        <v>350</v>
      </c>
    </row>
    <row r="14" spans="2:10" ht="15" customHeight="1">
      <c r="B14" s="1038">
        <f t="shared" si="0"/>
        <v>3</v>
      </c>
      <c r="C14" s="818" t="s">
        <v>701</v>
      </c>
      <c r="D14" s="1047" t="s">
        <v>386</v>
      </c>
      <c r="E14" s="1045">
        <v>100</v>
      </c>
      <c r="F14" s="801"/>
      <c r="G14" s="1042"/>
      <c r="H14" s="801">
        <v>0.1</v>
      </c>
      <c r="I14" s="1042">
        <v>23.56532</v>
      </c>
      <c r="J14" s="1046" t="s">
        <v>754</v>
      </c>
    </row>
    <row r="15" spans="2:10" ht="15" customHeight="1">
      <c r="B15" s="1038">
        <f t="shared" si="0"/>
        <v>4</v>
      </c>
      <c r="C15" s="818" t="s">
        <v>65</v>
      </c>
      <c r="D15" s="1047" t="s">
        <v>386</v>
      </c>
      <c r="E15" s="1048">
        <v>10</v>
      </c>
      <c r="F15" s="801"/>
      <c r="G15" s="1042"/>
      <c r="H15" s="801">
        <v>0.01</v>
      </c>
      <c r="I15" s="1042">
        <v>11.46804</v>
      </c>
      <c r="J15" s="1049" t="s">
        <v>350</v>
      </c>
    </row>
    <row r="16" spans="2:10" ht="15" customHeight="1">
      <c r="B16" s="1038">
        <f t="shared" si="0"/>
        <v>5</v>
      </c>
      <c r="C16" s="818" t="s">
        <v>12</v>
      </c>
      <c r="D16" s="1047" t="s">
        <v>386</v>
      </c>
      <c r="E16" s="1048">
        <v>10</v>
      </c>
      <c r="F16" s="801"/>
      <c r="G16" s="1042"/>
      <c r="H16" s="801">
        <v>0.01</v>
      </c>
      <c r="I16" s="1042">
        <v>11.46804</v>
      </c>
      <c r="J16" s="1049" t="s">
        <v>350</v>
      </c>
    </row>
    <row r="17" spans="2:10" ht="15" customHeight="1">
      <c r="B17" s="1038">
        <f t="shared" si="0"/>
        <v>6</v>
      </c>
      <c r="C17" s="818" t="s">
        <v>13</v>
      </c>
      <c r="D17" s="1047" t="s">
        <v>386</v>
      </c>
      <c r="E17" s="1048">
        <v>2</v>
      </c>
      <c r="F17" s="801"/>
      <c r="G17" s="1042"/>
      <c r="H17" s="801">
        <v>0.002</v>
      </c>
      <c r="I17" s="1042">
        <v>0.6962976</v>
      </c>
      <c r="J17" s="1049" t="s">
        <v>389</v>
      </c>
    </row>
    <row r="18" spans="2:10" ht="15" customHeight="1">
      <c r="B18" s="1038">
        <f t="shared" si="0"/>
        <v>7</v>
      </c>
      <c r="C18" s="818" t="s">
        <v>351</v>
      </c>
      <c r="D18" s="1047" t="s">
        <v>386</v>
      </c>
      <c r="E18" s="1048">
        <v>2</v>
      </c>
      <c r="F18" s="801"/>
      <c r="G18" s="1042"/>
      <c r="H18" s="801">
        <v>0.002</v>
      </c>
      <c r="I18" s="1042">
        <v>0.6962976</v>
      </c>
      <c r="J18" s="1049" t="s">
        <v>389</v>
      </c>
    </row>
    <row r="19" spans="2:10" ht="15" customHeight="1">
      <c r="B19" s="1038">
        <f t="shared" si="0"/>
        <v>8</v>
      </c>
      <c r="C19" s="818" t="s">
        <v>101</v>
      </c>
      <c r="D19" s="1047" t="s">
        <v>386</v>
      </c>
      <c r="E19" s="1048">
        <v>1</v>
      </c>
      <c r="F19" s="801"/>
      <c r="G19" s="1042"/>
      <c r="H19" s="801">
        <v>0.001</v>
      </c>
      <c r="I19" s="1042">
        <v>1.1468040000000002</v>
      </c>
      <c r="J19" s="1049" t="s">
        <v>843</v>
      </c>
    </row>
    <row r="20" spans="2:10" ht="15" customHeight="1">
      <c r="B20" s="1038">
        <f t="shared" si="0"/>
        <v>9</v>
      </c>
      <c r="C20" s="818" t="s">
        <v>664</v>
      </c>
      <c r="D20" s="1047" t="s">
        <v>386</v>
      </c>
      <c r="E20" s="1048">
        <v>2</v>
      </c>
      <c r="F20" s="801"/>
      <c r="G20" s="1042"/>
      <c r="H20" s="801">
        <v>0.002</v>
      </c>
      <c r="I20" s="1042">
        <v>2.2936080000000003</v>
      </c>
      <c r="J20" s="1049" t="s">
        <v>843</v>
      </c>
    </row>
    <row r="21" spans="2:10" ht="15" customHeight="1">
      <c r="B21" s="1038">
        <f t="shared" si="0"/>
        <v>10</v>
      </c>
      <c r="C21" s="818" t="s">
        <v>418</v>
      </c>
      <c r="D21" s="1047" t="s">
        <v>386</v>
      </c>
      <c r="E21" s="1048">
        <v>2</v>
      </c>
      <c r="F21" s="801"/>
      <c r="G21" s="1042"/>
      <c r="H21" s="801">
        <v>0.002</v>
      </c>
      <c r="I21" s="1042">
        <v>2.2936080000000003</v>
      </c>
      <c r="J21" s="1049" t="s">
        <v>843</v>
      </c>
    </row>
    <row r="22" spans="2:10" ht="15" customHeight="1">
      <c r="B22" s="1038">
        <f t="shared" si="0"/>
        <v>11</v>
      </c>
      <c r="C22" s="818" t="s">
        <v>15</v>
      </c>
      <c r="D22" s="1047" t="s">
        <v>386</v>
      </c>
      <c r="E22" s="1048">
        <v>8</v>
      </c>
      <c r="F22" s="801"/>
      <c r="G22" s="1042"/>
      <c r="H22" s="801">
        <v>0.008</v>
      </c>
      <c r="I22" s="1042">
        <v>9.174432000000001</v>
      </c>
      <c r="J22" s="1049" t="s">
        <v>843</v>
      </c>
    </row>
    <row r="23" spans="2:10" ht="15" customHeight="1">
      <c r="B23" s="1038">
        <f t="shared" si="0"/>
        <v>12</v>
      </c>
      <c r="C23" s="818" t="s">
        <v>47</v>
      </c>
      <c r="D23" s="1047" t="s">
        <v>386</v>
      </c>
      <c r="E23" s="1048">
        <v>8</v>
      </c>
      <c r="F23" s="801"/>
      <c r="G23" s="1042"/>
      <c r="H23" s="801">
        <v>0.008</v>
      </c>
      <c r="I23" s="1042">
        <v>9.174432000000001</v>
      </c>
      <c r="J23" s="1049" t="s">
        <v>843</v>
      </c>
    </row>
    <row r="24" spans="2:10" ht="15" customHeight="1">
      <c r="B24" s="1038">
        <f t="shared" si="0"/>
        <v>13</v>
      </c>
      <c r="C24" s="818" t="s">
        <v>576</v>
      </c>
      <c r="D24" s="1047" t="s">
        <v>386</v>
      </c>
      <c r="E24" s="1048">
        <v>60</v>
      </c>
      <c r="F24" s="801"/>
      <c r="G24" s="1042"/>
      <c r="H24" s="801">
        <v>0.06</v>
      </c>
      <c r="I24" s="1042">
        <v>68.80824</v>
      </c>
      <c r="J24" s="1049" t="s">
        <v>809</v>
      </c>
    </row>
    <row r="25" spans="2:10" ht="15" customHeight="1">
      <c r="B25" s="1038">
        <f t="shared" si="0"/>
        <v>14</v>
      </c>
      <c r="C25" s="818" t="s">
        <v>616</v>
      </c>
      <c r="D25" s="1047" t="s">
        <v>386</v>
      </c>
      <c r="E25" s="1048">
        <v>6</v>
      </c>
      <c r="F25" s="801"/>
      <c r="G25" s="1042"/>
      <c r="H25" s="801">
        <v>0.006</v>
      </c>
      <c r="I25" s="1042">
        <v>6.8808240000000005</v>
      </c>
      <c r="J25" s="1049" t="s">
        <v>841</v>
      </c>
    </row>
    <row r="26" spans="2:10" ht="15" customHeight="1">
      <c r="B26" s="1038">
        <f t="shared" si="0"/>
        <v>15</v>
      </c>
      <c r="C26" s="818" t="s">
        <v>618</v>
      </c>
      <c r="D26" s="1047" t="s">
        <v>386</v>
      </c>
      <c r="E26" s="1048">
        <v>6</v>
      </c>
      <c r="F26" s="801"/>
      <c r="G26" s="1042"/>
      <c r="H26" s="801">
        <v>0.006</v>
      </c>
      <c r="I26" s="1042">
        <v>6.8808240000000005</v>
      </c>
      <c r="J26" s="1049" t="s">
        <v>842</v>
      </c>
    </row>
    <row r="27" spans="2:10" ht="15" customHeight="1">
      <c r="B27" s="1038">
        <f t="shared" si="0"/>
        <v>16</v>
      </c>
      <c r="C27" s="818" t="s">
        <v>787</v>
      </c>
      <c r="D27" s="1047" t="s">
        <v>386</v>
      </c>
      <c r="E27" s="1048">
        <v>2</v>
      </c>
      <c r="F27" s="801"/>
      <c r="G27" s="1042"/>
      <c r="H27" s="801">
        <v>0.002</v>
      </c>
      <c r="I27" s="1042">
        <v>2.2936080000000003</v>
      </c>
      <c r="J27" s="1049" t="s">
        <v>843</v>
      </c>
    </row>
    <row r="28" spans="2:10" ht="15" customHeight="1">
      <c r="B28" s="1038">
        <f t="shared" si="0"/>
        <v>17</v>
      </c>
      <c r="C28" s="818" t="s">
        <v>584</v>
      </c>
      <c r="D28" s="1047" t="s">
        <v>386</v>
      </c>
      <c r="E28" s="1048">
        <v>2</v>
      </c>
      <c r="F28" s="801"/>
      <c r="G28" s="1042"/>
      <c r="H28" s="801">
        <v>0.002</v>
      </c>
      <c r="I28" s="1042">
        <v>2.2936080000000003</v>
      </c>
      <c r="J28" s="1049" t="s">
        <v>350</v>
      </c>
    </row>
    <row r="29" spans="2:10" ht="15" customHeight="1">
      <c r="B29" s="1038">
        <f t="shared" si="0"/>
        <v>18</v>
      </c>
      <c r="C29" s="818" t="s">
        <v>566</v>
      </c>
      <c r="D29" s="1047" t="s">
        <v>386</v>
      </c>
      <c r="E29" s="1048">
        <v>5</v>
      </c>
      <c r="F29" s="805"/>
      <c r="G29" s="1042"/>
      <c r="H29" s="805">
        <v>0.005</v>
      </c>
      <c r="I29" s="1042">
        <v>1.740744</v>
      </c>
      <c r="J29" s="1046" t="s">
        <v>389</v>
      </c>
    </row>
    <row r="30" spans="2:10" ht="15" customHeight="1">
      <c r="B30" s="1038">
        <f t="shared" si="0"/>
        <v>19</v>
      </c>
      <c r="C30" s="818" t="s">
        <v>695</v>
      </c>
      <c r="D30" s="1047" t="s">
        <v>386</v>
      </c>
      <c r="E30" s="1048">
        <v>2</v>
      </c>
      <c r="F30" s="805"/>
      <c r="G30" s="1042"/>
      <c r="H30" s="805">
        <v>0.002</v>
      </c>
      <c r="I30" s="1042">
        <v>0.6962976</v>
      </c>
      <c r="J30" s="1046" t="s">
        <v>389</v>
      </c>
    </row>
    <row r="31" spans="2:10" ht="15" customHeight="1">
      <c r="B31" s="1038">
        <f t="shared" si="0"/>
        <v>20</v>
      </c>
      <c r="C31" s="818" t="s">
        <v>719</v>
      </c>
      <c r="D31" s="1047" t="s">
        <v>386</v>
      </c>
      <c r="E31" s="1048">
        <v>4</v>
      </c>
      <c r="F31" s="805"/>
      <c r="G31" s="1042"/>
      <c r="H31" s="805">
        <v>0.004</v>
      </c>
      <c r="I31" s="1042">
        <v>1.3925952</v>
      </c>
      <c r="J31" s="1046" t="s">
        <v>389</v>
      </c>
    </row>
    <row r="32" spans="2:10" ht="15" customHeight="1">
      <c r="B32" s="1038">
        <f t="shared" si="0"/>
        <v>21</v>
      </c>
      <c r="C32" s="818" t="s">
        <v>738</v>
      </c>
      <c r="D32" s="1047" t="s">
        <v>386</v>
      </c>
      <c r="E32" s="1048">
        <v>30</v>
      </c>
      <c r="F32" s="805"/>
      <c r="G32" s="1042"/>
      <c r="H32" s="805">
        <v>0.03</v>
      </c>
      <c r="I32" s="1042">
        <v>7.069596</v>
      </c>
      <c r="J32" s="1046" t="s">
        <v>678</v>
      </c>
    </row>
    <row r="33" spans="2:10" ht="15" customHeight="1">
      <c r="B33" s="1038">
        <f t="shared" si="0"/>
        <v>22</v>
      </c>
      <c r="C33" s="818" t="s">
        <v>682</v>
      </c>
      <c r="D33" s="1047" t="s">
        <v>386</v>
      </c>
      <c r="E33" s="1048">
        <v>5</v>
      </c>
      <c r="F33" s="805"/>
      <c r="G33" s="1042"/>
      <c r="H33" s="805">
        <v>0.005</v>
      </c>
      <c r="I33" s="1042">
        <v>1.740744</v>
      </c>
      <c r="J33" s="1046" t="s">
        <v>389</v>
      </c>
    </row>
    <row r="34" spans="2:10" ht="15" customHeight="1">
      <c r="B34" s="1038">
        <f t="shared" si="0"/>
        <v>23</v>
      </c>
      <c r="C34" s="818" t="s">
        <v>677</v>
      </c>
      <c r="D34" s="1047" t="s">
        <v>386</v>
      </c>
      <c r="E34" s="1048">
        <v>10</v>
      </c>
      <c r="F34" s="805"/>
      <c r="G34" s="1042"/>
      <c r="H34" s="805">
        <v>0.01</v>
      </c>
      <c r="I34" s="1042">
        <v>2.356532</v>
      </c>
      <c r="J34" s="1046" t="s">
        <v>678</v>
      </c>
    </row>
    <row r="35" spans="2:10" ht="15" customHeight="1" thickBot="1">
      <c r="B35" s="1038">
        <f t="shared" si="0"/>
        <v>24</v>
      </c>
      <c r="C35" s="818" t="s">
        <v>732</v>
      </c>
      <c r="D35" s="1047" t="s">
        <v>386</v>
      </c>
      <c r="E35" s="1048">
        <v>5</v>
      </c>
      <c r="F35" s="805"/>
      <c r="G35" s="1042"/>
      <c r="H35" s="805">
        <v>0.005</v>
      </c>
      <c r="I35" s="1042">
        <v>1.740744</v>
      </c>
      <c r="J35" s="1046" t="s">
        <v>389</v>
      </c>
    </row>
    <row r="36" spans="2:10" ht="13.5" thickBot="1">
      <c r="B36" s="1050"/>
      <c r="C36" s="1574" t="s">
        <v>23</v>
      </c>
      <c r="D36" s="1575"/>
      <c r="E36" s="1085">
        <f>SUM(E12:E35)</f>
        <v>342</v>
      </c>
      <c r="F36" s="1051">
        <f>SUM(F12:F35)</f>
        <v>0</v>
      </c>
      <c r="G36" s="1051">
        <f>SUM(G12:G35)</f>
        <v>0</v>
      </c>
      <c r="H36" s="1051">
        <f>SUM(H12:H35)</f>
        <v>0.3420000000000001</v>
      </c>
      <c r="I36" s="1052">
        <f>SUM(I12:I35)</f>
        <v>244.679476</v>
      </c>
      <c r="J36" s="1053"/>
    </row>
    <row r="37" spans="2:10" ht="12" customHeight="1" thickBot="1">
      <c r="B37" s="1050"/>
      <c r="C37" s="1054" t="s">
        <v>24</v>
      </c>
      <c r="D37" s="1055"/>
      <c r="E37" s="1085"/>
      <c r="F37" s="1051"/>
      <c r="G37" s="1056"/>
      <c r="H37" s="1057"/>
      <c r="I37" s="1058"/>
      <c r="J37" s="1059"/>
    </row>
    <row r="38" spans="2:10" ht="15" customHeight="1">
      <c r="B38" s="1060">
        <f>B35+1</f>
        <v>25</v>
      </c>
      <c r="C38" s="1044" t="s">
        <v>708</v>
      </c>
      <c r="D38" s="1061" t="s">
        <v>498</v>
      </c>
      <c r="E38" s="1062">
        <v>8</v>
      </c>
      <c r="F38" s="1063"/>
      <c r="G38" s="1064"/>
      <c r="H38" s="1065">
        <v>0.008</v>
      </c>
      <c r="I38" s="1066">
        <v>6.0968048</v>
      </c>
      <c r="J38" s="1046" t="s">
        <v>834</v>
      </c>
    </row>
    <row r="39" spans="2:10" ht="15" customHeight="1">
      <c r="B39" s="1067">
        <f>B38+1</f>
        <v>26</v>
      </c>
      <c r="C39" s="818" t="s">
        <v>100</v>
      </c>
      <c r="D39" s="1061" t="s">
        <v>498</v>
      </c>
      <c r="E39" s="1068">
        <v>10</v>
      </c>
      <c r="F39" s="805"/>
      <c r="G39" s="932"/>
      <c r="H39" s="1065">
        <v>0.01</v>
      </c>
      <c r="I39" s="1042">
        <v>11.46804</v>
      </c>
      <c r="J39" s="1049" t="s">
        <v>445</v>
      </c>
    </row>
    <row r="40" spans="2:10" ht="15" customHeight="1">
      <c r="B40" s="1067">
        <f aca="true" t="shared" si="1" ref="B40:B64">B39+1</f>
        <v>27</v>
      </c>
      <c r="C40" s="818" t="s">
        <v>101</v>
      </c>
      <c r="D40" s="1061" t="s">
        <v>498</v>
      </c>
      <c r="E40" s="1068">
        <v>8</v>
      </c>
      <c r="F40" s="805"/>
      <c r="G40" s="932"/>
      <c r="H40" s="1065">
        <v>0.008</v>
      </c>
      <c r="I40" s="1066">
        <v>6.0968048</v>
      </c>
      <c r="J40" s="1049" t="s">
        <v>835</v>
      </c>
    </row>
    <row r="41" spans="2:10" ht="15" customHeight="1">
      <c r="B41" s="1067">
        <f t="shared" si="1"/>
        <v>28</v>
      </c>
      <c r="C41" s="818" t="s">
        <v>600</v>
      </c>
      <c r="D41" s="1061" t="s">
        <v>498</v>
      </c>
      <c r="E41" s="1068">
        <v>12</v>
      </c>
      <c r="F41" s="805"/>
      <c r="G41" s="932"/>
      <c r="H41" s="1065">
        <v>0.012</v>
      </c>
      <c r="I41" s="1042">
        <v>10.4549364</v>
      </c>
      <c r="J41" s="1049" t="s">
        <v>836</v>
      </c>
    </row>
    <row r="42" spans="2:10" ht="15" customHeight="1">
      <c r="B42" s="1067">
        <f t="shared" si="1"/>
        <v>29</v>
      </c>
      <c r="C42" s="818" t="s">
        <v>605</v>
      </c>
      <c r="D42" s="1061" t="s">
        <v>498</v>
      </c>
      <c r="E42" s="1068">
        <v>15</v>
      </c>
      <c r="F42" s="805"/>
      <c r="G42" s="932"/>
      <c r="H42" s="1065">
        <v>0.015</v>
      </c>
      <c r="I42" s="1066">
        <v>11.431509</v>
      </c>
      <c r="J42" s="1049" t="s">
        <v>837</v>
      </c>
    </row>
    <row r="43" spans="2:10" ht="15" customHeight="1">
      <c r="B43" s="1067">
        <f t="shared" si="1"/>
        <v>30</v>
      </c>
      <c r="C43" s="818" t="s">
        <v>608</v>
      </c>
      <c r="D43" s="1061" t="s">
        <v>498</v>
      </c>
      <c r="E43" s="1068">
        <v>8</v>
      </c>
      <c r="F43" s="805"/>
      <c r="G43" s="932"/>
      <c r="H43" s="1065">
        <v>0.008</v>
      </c>
      <c r="I43" s="930">
        <v>9.174432000000001</v>
      </c>
      <c r="J43" s="1049" t="s">
        <v>838</v>
      </c>
    </row>
    <row r="44" spans="2:10" ht="15" customHeight="1">
      <c r="B44" s="1067">
        <f t="shared" si="1"/>
        <v>31</v>
      </c>
      <c r="C44" s="818" t="s">
        <v>592</v>
      </c>
      <c r="D44" s="1061" t="s">
        <v>498</v>
      </c>
      <c r="E44" s="1068">
        <f>79+6</f>
        <v>85</v>
      </c>
      <c r="F44" s="805"/>
      <c r="G44" s="932"/>
      <c r="H44" s="1065">
        <v>0.085</v>
      </c>
      <c r="I44" s="932">
        <v>95.1698826</v>
      </c>
      <c r="J44" s="1049" t="s">
        <v>839</v>
      </c>
    </row>
    <row r="45" spans="2:10" ht="15" customHeight="1">
      <c r="B45" s="1067">
        <f t="shared" si="1"/>
        <v>32</v>
      </c>
      <c r="C45" s="818" t="s">
        <v>573</v>
      </c>
      <c r="D45" s="1061" t="s">
        <v>498</v>
      </c>
      <c r="E45" s="1068">
        <v>12</v>
      </c>
      <c r="F45" s="805"/>
      <c r="G45" s="932"/>
      <c r="H45" s="1065">
        <v>0.012</v>
      </c>
      <c r="I45" s="930">
        <v>10.4549364</v>
      </c>
      <c r="J45" s="1049" t="s">
        <v>14</v>
      </c>
    </row>
    <row r="46" spans="2:10" ht="15" customHeight="1">
      <c r="B46" s="1067">
        <f t="shared" si="1"/>
        <v>33</v>
      </c>
      <c r="C46" s="818" t="s">
        <v>481</v>
      </c>
      <c r="D46" s="1061" t="s">
        <v>498</v>
      </c>
      <c r="E46" s="1068">
        <v>8</v>
      </c>
      <c r="F46" s="805"/>
      <c r="G46" s="932"/>
      <c r="H46" s="1065">
        <v>0.008</v>
      </c>
      <c r="I46" s="932">
        <v>6.0968048</v>
      </c>
      <c r="J46" s="1049" t="s">
        <v>14</v>
      </c>
    </row>
    <row r="47" spans="2:10" ht="15" customHeight="1">
      <c r="B47" s="1067">
        <f t="shared" si="1"/>
        <v>34</v>
      </c>
      <c r="C47" s="818" t="s">
        <v>610</v>
      </c>
      <c r="D47" s="1061" t="s">
        <v>498</v>
      </c>
      <c r="E47" s="1068">
        <f>15+2.5</f>
        <v>17.5</v>
      </c>
      <c r="F47" s="805"/>
      <c r="G47" s="932"/>
      <c r="H47" s="1065">
        <v>0.0175</v>
      </c>
      <c r="I47" s="932">
        <v>13.3367605</v>
      </c>
      <c r="J47" s="1049" t="s">
        <v>840</v>
      </c>
    </row>
    <row r="48" spans="2:12" ht="15" customHeight="1">
      <c r="B48" s="1067">
        <f t="shared" si="1"/>
        <v>35</v>
      </c>
      <c r="C48" s="818" t="s">
        <v>613</v>
      </c>
      <c r="D48" s="1061" t="s">
        <v>498</v>
      </c>
      <c r="E48" s="1068">
        <v>21.5</v>
      </c>
      <c r="F48" s="805"/>
      <c r="G48" s="932"/>
      <c r="H48" s="1065">
        <v>0.0215</v>
      </c>
      <c r="I48" s="1066">
        <v>16.385162899999997</v>
      </c>
      <c r="J48" s="1049" t="s">
        <v>14</v>
      </c>
      <c r="K48" s="51"/>
      <c r="L48" s="1031"/>
    </row>
    <row r="49" spans="2:10" ht="15" customHeight="1">
      <c r="B49" s="1067">
        <f t="shared" si="1"/>
        <v>36</v>
      </c>
      <c r="C49" s="818" t="s">
        <v>781</v>
      </c>
      <c r="D49" s="1061" t="s">
        <v>498</v>
      </c>
      <c r="E49" s="1068">
        <v>8</v>
      </c>
      <c r="F49" s="805"/>
      <c r="G49" s="932"/>
      <c r="H49" s="1065">
        <v>0.008</v>
      </c>
      <c r="I49" s="1066">
        <v>6.0968048</v>
      </c>
      <c r="J49" s="1049" t="s">
        <v>14</v>
      </c>
    </row>
    <row r="50" spans="2:10" ht="15" customHeight="1">
      <c r="B50" s="1067">
        <f t="shared" si="1"/>
        <v>37</v>
      </c>
      <c r="C50" s="818" t="s">
        <v>782</v>
      </c>
      <c r="D50" s="1061" t="s">
        <v>498</v>
      </c>
      <c r="E50" s="1068">
        <v>20</v>
      </c>
      <c r="F50" s="805"/>
      <c r="G50" s="932"/>
      <c r="H50" s="1065">
        <v>0.02</v>
      </c>
      <c r="I50" s="930">
        <v>22.93608</v>
      </c>
      <c r="J50" s="1049" t="s">
        <v>838</v>
      </c>
    </row>
    <row r="51" spans="2:10" ht="15" customHeight="1">
      <c r="B51" s="1067">
        <f t="shared" si="1"/>
        <v>38</v>
      </c>
      <c r="C51" s="818" t="s">
        <v>780</v>
      </c>
      <c r="D51" s="1061" t="s">
        <v>498</v>
      </c>
      <c r="E51" s="1068">
        <v>15</v>
      </c>
      <c r="F51" s="805"/>
      <c r="G51" s="932"/>
      <c r="H51" s="1065">
        <v>0.015</v>
      </c>
      <c r="I51" s="932">
        <v>11.431509</v>
      </c>
      <c r="J51" s="1049" t="s">
        <v>14</v>
      </c>
    </row>
    <row r="52" spans="2:10" ht="15" customHeight="1">
      <c r="B52" s="1067">
        <f t="shared" si="1"/>
        <v>39</v>
      </c>
      <c r="C52" s="818" t="s">
        <v>521</v>
      </c>
      <c r="D52" s="1061" t="s">
        <v>498</v>
      </c>
      <c r="E52" s="1068">
        <v>8</v>
      </c>
      <c r="F52" s="805"/>
      <c r="G52" s="932"/>
      <c r="H52" s="1065">
        <v>0.008</v>
      </c>
      <c r="I52" s="1066">
        <v>6.0968048</v>
      </c>
      <c r="J52" s="1049" t="s">
        <v>836</v>
      </c>
    </row>
    <row r="53" spans="2:10" ht="15" customHeight="1">
      <c r="B53" s="1067">
        <f t="shared" si="1"/>
        <v>40</v>
      </c>
      <c r="C53" s="818" t="s">
        <v>486</v>
      </c>
      <c r="D53" s="1061" t="s">
        <v>498</v>
      </c>
      <c r="E53" s="1068">
        <v>12</v>
      </c>
      <c r="F53" s="805"/>
      <c r="G53" s="932"/>
      <c r="H53" s="1065">
        <v>0.012</v>
      </c>
      <c r="I53" s="932">
        <v>9.1452072</v>
      </c>
      <c r="J53" s="1049" t="s">
        <v>14</v>
      </c>
    </row>
    <row r="54" spans="2:10" ht="15" customHeight="1">
      <c r="B54" s="1067">
        <f t="shared" si="1"/>
        <v>41</v>
      </c>
      <c r="C54" s="818" t="s">
        <v>777</v>
      </c>
      <c r="D54" s="1061" t="s">
        <v>498</v>
      </c>
      <c r="E54" s="1068">
        <v>25</v>
      </c>
      <c r="F54" s="805"/>
      <c r="G54" s="932"/>
      <c r="H54" s="1065">
        <v>0.025</v>
      </c>
      <c r="I54" s="930">
        <v>28.670100000000005</v>
      </c>
      <c r="J54" s="1049" t="s">
        <v>809</v>
      </c>
    </row>
    <row r="55" spans="2:10" ht="15" customHeight="1">
      <c r="B55" s="1067">
        <f t="shared" si="1"/>
        <v>42</v>
      </c>
      <c r="C55" s="818" t="s">
        <v>535</v>
      </c>
      <c r="D55" s="1061" t="s">
        <v>498</v>
      </c>
      <c r="E55" s="1068">
        <v>8</v>
      </c>
      <c r="F55" s="805"/>
      <c r="G55" s="932"/>
      <c r="H55" s="1065">
        <v>0.008</v>
      </c>
      <c r="I55" s="932">
        <v>6.0968048</v>
      </c>
      <c r="J55" s="1049" t="s">
        <v>14</v>
      </c>
    </row>
    <row r="56" spans="2:10" ht="15" customHeight="1">
      <c r="B56" s="1067">
        <f t="shared" si="1"/>
        <v>43</v>
      </c>
      <c r="C56" s="818" t="s">
        <v>460</v>
      </c>
      <c r="D56" s="1061" t="s">
        <v>498</v>
      </c>
      <c r="E56" s="1068">
        <v>8</v>
      </c>
      <c r="F56" s="805"/>
      <c r="G56" s="932"/>
      <c r="H56" s="1065">
        <v>0.008</v>
      </c>
      <c r="I56" s="1042">
        <v>6.9699576</v>
      </c>
      <c r="J56" s="1049" t="s">
        <v>14</v>
      </c>
    </row>
    <row r="57" spans="2:10" ht="15" customHeight="1">
      <c r="B57" s="1067">
        <f t="shared" si="1"/>
        <v>44</v>
      </c>
      <c r="C57" s="818" t="s">
        <v>783</v>
      </c>
      <c r="D57" s="1061" t="s">
        <v>498</v>
      </c>
      <c r="E57" s="1068">
        <v>6</v>
      </c>
      <c r="F57" s="805"/>
      <c r="G57" s="932"/>
      <c r="H57" s="1065">
        <v>0.006</v>
      </c>
      <c r="I57" s="930">
        <v>6.8808240000000005</v>
      </c>
      <c r="J57" s="1049" t="s">
        <v>809</v>
      </c>
    </row>
    <row r="58" spans="2:10" ht="15" customHeight="1">
      <c r="B58" s="1067">
        <f t="shared" si="1"/>
        <v>45</v>
      </c>
      <c r="C58" s="818" t="s">
        <v>785</v>
      </c>
      <c r="D58" s="1061" t="s">
        <v>498</v>
      </c>
      <c r="E58" s="1068">
        <v>8</v>
      </c>
      <c r="F58" s="805"/>
      <c r="G58" s="932"/>
      <c r="H58" s="1065">
        <v>0.008</v>
      </c>
      <c r="I58" s="1042">
        <v>6.9699576</v>
      </c>
      <c r="J58" s="1049" t="s">
        <v>14</v>
      </c>
    </row>
    <row r="59" spans="2:10" ht="15" customHeight="1">
      <c r="B59" s="1067">
        <f t="shared" si="1"/>
        <v>46</v>
      </c>
      <c r="C59" s="818" t="s">
        <v>786</v>
      </c>
      <c r="D59" s="1061" t="s">
        <v>498</v>
      </c>
      <c r="E59" s="1068">
        <v>6</v>
      </c>
      <c r="F59" s="805"/>
      <c r="G59" s="932"/>
      <c r="H59" s="1065">
        <v>0.006</v>
      </c>
      <c r="I59" s="1042">
        <v>6.8808240000000005</v>
      </c>
      <c r="J59" s="1049" t="s">
        <v>809</v>
      </c>
    </row>
    <row r="60" spans="2:10" ht="15" customHeight="1">
      <c r="B60" s="1067">
        <f t="shared" si="1"/>
        <v>47</v>
      </c>
      <c r="C60" s="818" t="s">
        <v>784</v>
      </c>
      <c r="D60" s="1061" t="s">
        <v>498</v>
      </c>
      <c r="E60" s="1068">
        <v>8</v>
      </c>
      <c r="F60" s="805"/>
      <c r="G60" s="932"/>
      <c r="H60" s="1065">
        <v>0.008</v>
      </c>
      <c r="I60" s="1066">
        <v>6.0968048</v>
      </c>
      <c r="J60" s="1049" t="s">
        <v>14</v>
      </c>
    </row>
    <row r="61" spans="2:10" ht="15" customHeight="1">
      <c r="B61" s="1067">
        <f t="shared" si="1"/>
        <v>48</v>
      </c>
      <c r="C61" s="818" t="s">
        <v>541</v>
      </c>
      <c r="D61" s="1061" t="s">
        <v>498</v>
      </c>
      <c r="E61" s="1068">
        <v>5</v>
      </c>
      <c r="F61" s="805"/>
      <c r="G61" s="932"/>
      <c r="H61" s="1065">
        <v>0.005</v>
      </c>
      <c r="I61" s="930">
        <v>4.3562235</v>
      </c>
      <c r="J61" s="1049" t="s">
        <v>14</v>
      </c>
    </row>
    <row r="62" spans="2:10" ht="15" customHeight="1">
      <c r="B62" s="1067">
        <f t="shared" si="1"/>
        <v>49</v>
      </c>
      <c r="C62" s="818" t="s">
        <v>380</v>
      </c>
      <c r="D62" s="1061" t="s">
        <v>498</v>
      </c>
      <c r="E62" s="1068">
        <v>10</v>
      </c>
      <c r="F62" s="805"/>
      <c r="G62" s="932"/>
      <c r="H62" s="1065">
        <v>0.01</v>
      </c>
      <c r="I62" s="1042">
        <v>8.712447</v>
      </c>
      <c r="J62" s="1049" t="s">
        <v>14</v>
      </c>
    </row>
    <row r="63" spans="2:10" ht="15" customHeight="1">
      <c r="B63" s="1067">
        <f t="shared" si="1"/>
        <v>50</v>
      </c>
      <c r="C63" s="818" t="s">
        <v>562</v>
      </c>
      <c r="D63" s="1061" t="s">
        <v>498</v>
      </c>
      <c r="E63" s="1068">
        <v>16</v>
      </c>
      <c r="F63" s="805"/>
      <c r="G63" s="932"/>
      <c r="H63" s="1065">
        <v>0.016</v>
      </c>
      <c r="I63" s="1066">
        <v>12.1936096</v>
      </c>
      <c r="J63" s="1049" t="s">
        <v>14</v>
      </c>
    </row>
    <row r="64" spans="2:10" ht="15" customHeight="1" thickBot="1">
      <c r="B64" s="1067">
        <f t="shared" si="1"/>
        <v>51</v>
      </c>
      <c r="C64" s="818" t="s">
        <v>536</v>
      </c>
      <c r="D64" s="1061" t="s">
        <v>498</v>
      </c>
      <c r="E64" s="1068">
        <v>12</v>
      </c>
      <c r="F64" s="801"/>
      <c r="G64" s="931"/>
      <c r="H64" s="1065">
        <v>0.012</v>
      </c>
      <c r="I64" s="1066">
        <v>9.1452072</v>
      </c>
      <c r="J64" s="1049" t="s">
        <v>14</v>
      </c>
    </row>
    <row r="65" spans="2:10" ht="13.5" thickBot="1">
      <c r="B65" s="1086"/>
      <c r="C65" s="1069" t="s">
        <v>29</v>
      </c>
      <c r="D65" s="1070"/>
      <c r="E65" s="1071">
        <f aca="true" t="shared" si="2" ref="E65:J65">SUM(E38:E64)</f>
        <v>380</v>
      </c>
      <c r="F65" s="1072">
        <f t="shared" si="2"/>
        <v>0</v>
      </c>
      <c r="G65" s="10">
        <f t="shared" si="2"/>
        <v>0</v>
      </c>
      <c r="H65" s="1073">
        <f t="shared" si="2"/>
        <v>0.38000000000000017</v>
      </c>
      <c r="I65" s="10">
        <f t="shared" si="2"/>
        <v>354.8452401</v>
      </c>
      <c r="J65" s="1074">
        <f t="shared" si="2"/>
        <v>0</v>
      </c>
    </row>
    <row r="66" spans="2:10" ht="13.5" thickBot="1">
      <c r="B66" s="106"/>
      <c r="C66" s="1576" t="s">
        <v>30</v>
      </c>
      <c r="D66" s="1577"/>
      <c r="E66" s="1075">
        <f>E65+E36</f>
        <v>722</v>
      </c>
      <c r="F66" s="1076">
        <f>F65+F36</f>
        <v>0</v>
      </c>
      <c r="G66" s="1077">
        <f>G65+G36</f>
        <v>0</v>
      </c>
      <c r="H66" s="1078">
        <f>H65+H36</f>
        <v>0.7220000000000002</v>
      </c>
      <c r="I66" s="1079">
        <f>I65+I36</f>
        <v>599.5247161</v>
      </c>
      <c r="J66" s="1087"/>
    </row>
    <row r="67" spans="2:10" ht="6" customHeight="1">
      <c r="B67" s="1088"/>
      <c r="C67" s="1080"/>
      <c r="D67" s="1080"/>
      <c r="E67" s="1081"/>
      <c r="F67" s="1082"/>
      <c r="G67" s="1082"/>
      <c r="H67" s="1082"/>
      <c r="I67" s="1082"/>
      <c r="J67" s="1089"/>
    </row>
    <row r="68" spans="2:10" ht="13.5">
      <c r="B68" s="1"/>
      <c r="C68" s="1083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 t="s">
        <v>73</v>
      </c>
      <c r="D70" s="1"/>
      <c r="E70" s="1"/>
      <c r="F70" s="1"/>
      <c r="G70" s="1"/>
      <c r="H70" s="1"/>
      <c r="I70" s="1"/>
      <c r="J70" s="1" t="s">
        <v>32</v>
      </c>
    </row>
  </sheetData>
  <sheetProtection/>
  <autoFilter ref="B11:J66"/>
  <mergeCells count="15">
    <mergeCell ref="J9:J10"/>
    <mergeCell ref="C36:D36"/>
    <mergeCell ref="C66:D66"/>
    <mergeCell ref="B9:B10"/>
    <mergeCell ref="C9:C10"/>
    <mergeCell ref="D9:D10"/>
    <mergeCell ref="E9:E10"/>
    <mergeCell ref="F9:G9"/>
    <mergeCell ref="H9:I9"/>
    <mergeCell ref="I1:J1"/>
    <mergeCell ref="I2:J2"/>
    <mergeCell ref="I3:J3"/>
    <mergeCell ref="I4:J4"/>
    <mergeCell ref="B6:J6"/>
    <mergeCell ref="B7:J7"/>
  </mergeCells>
  <printOptions horizontalCentered="1" verticalCentered="1"/>
  <pageMargins left="0.2362204724409449" right="0.2362204724409449" top="0.1968503937007874" bottom="0.1968503937007874" header="0" footer="0"/>
  <pageSetup fitToHeight="2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H30"/>
  <sheetViews>
    <sheetView workbookViewId="0" topLeftCell="A1">
      <selection activeCell="I26" sqref="I26"/>
    </sheetView>
  </sheetViews>
  <sheetFormatPr defaultColWidth="9.00390625" defaultRowHeight="12.75"/>
  <cols>
    <col min="1" max="1" width="6.625" style="0" customWidth="1"/>
    <col min="2" max="2" width="5.00390625" style="6" customWidth="1"/>
    <col min="3" max="3" width="25.00390625" style="0" customWidth="1"/>
    <col min="4" max="4" width="8.875" style="0" customWidth="1"/>
    <col min="5" max="5" width="14.375" style="0" customWidth="1"/>
    <col min="6" max="6" width="22.00390625" style="6" customWidth="1"/>
    <col min="7" max="7" width="0.12890625" style="0" customWidth="1"/>
  </cols>
  <sheetData>
    <row r="1" spans="1:8" ht="15">
      <c r="A1" s="1327"/>
      <c r="B1" s="1328"/>
      <c r="C1" s="1327"/>
      <c r="D1" s="1327"/>
      <c r="E1" s="1327"/>
      <c r="F1" s="1328"/>
      <c r="G1" s="1327"/>
      <c r="H1" s="1327"/>
    </row>
    <row r="2" spans="1:8" ht="15">
      <c r="A2" s="1327"/>
      <c r="B2" s="1328"/>
      <c r="C2" s="1327"/>
      <c r="D2" s="1329"/>
      <c r="E2" s="1821" t="s">
        <v>133</v>
      </c>
      <c r="F2" s="1821"/>
      <c r="G2" s="1327"/>
      <c r="H2" s="1327"/>
    </row>
    <row r="3" spans="1:8" ht="15">
      <c r="A3" s="1327"/>
      <c r="B3" s="1328"/>
      <c r="C3" s="1327"/>
      <c r="D3" s="1330"/>
      <c r="E3" s="1821" t="s">
        <v>1</v>
      </c>
      <c r="F3" s="1821"/>
      <c r="G3" s="1327"/>
      <c r="H3" s="1327"/>
    </row>
    <row r="4" spans="1:8" ht="15">
      <c r="A4" s="1327"/>
      <c r="B4" s="1328"/>
      <c r="C4" s="1327"/>
      <c r="D4" s="1330"/>
      <c r="E4" s="1821" t="s">
        <v>270</v>
      </c>
      <c r="F4" s="1821"/>
      <c r="G4" s="1327"/>
      <c r="H4" s="1327"/>
    </row>
    <row r="5" spans="1:8" ht="15">
      <c r="A5" s="1327"/>
      <c r="B5" s="1328"/>
      <c r="C5" s="1327"/>
      <c r="D5" s="1329"/>
      <c r="E5" s="1821" t="s">
        <v>768</v>
      </c>
      <c r="F5" s="1821"/>
      <c r="G5" s="1327"/>
      <c r="H5" s="1327"/>
    </row>
    <row r="6" spans="1:8" ht="15">
      <c r="A6" s="1327"/>
      <c r="B6" s="1328"/>
      <c r="C6" s="1327"/>
      <c r="D6" s="1329"/>
      <c r="E6" s="1329"/>
      <c r="F6" s="1329"/>
      <c r="G6" s="1327"/>
      <c r="H6" s="1327"/>
    </row>
    <row r="7" spans="1:8" ht="15">
      <c r="A7" s="1327"/>
      <c r="B7" s="1328"/>
      <c r="C7" s="1327"/>
      <c r="D7" s="1329"/>
      <c r="E7" s="1329"/>
      <c r="F7" s="1328"/>
      <c r="G7" s="1327"/>
      <c r="H7" s="1327"/>
    </row>
    <row r="8" spans="1:8" ht="15">
      <c r="A8" s="1327"/>
      <c r="B8" s="1822" t="s">
        <v>33</v>
      </c>
      <c r="C8" s="1822"/>
      <c r="D8" s="1822"/>
      <c r="E8" s="1822"/>
      <c r="F8" s="1822"/>
      <c r="G8" s="1327"/>
      <c r="H8" s="1327"/>
    </row>
    <row r="9" spans="1:8" ht="15">
      <c r="A9" s="1327"/>
      <c r="B9" s="1822" t="s">
        <v>872</v>
      </c>
      <c r="C9" s="1822"/>
      <c r="D9" s="1822"/>
      <c r="E9" s="1822"/>
      <c r="F9" s="1822"/>
      <c r="G9" s="1327"/>
      <c r="H9" s="1327"/>
    </row>
    <row r="10" spans="1:8" ht="15">
      <c r="A10" s="1327"/>
      <c r="B10" s="1331"/>
      <c r="C10" s="1807" t="s">
        <v>873</v>
      </c>
      <c r="D10" s="1807"/>
      <c r="E10" s="1807"/>
      <c r="F10" s="1807"/>
      <c r="G10" s="1327"/>
      <c r="H10" s="1327"/>
    </row>
    <row r="11" spans="1:8" ht="15.75" thickBot="1">
      <c r="A11" s="1327"/>
      <c r="B11" s="1808"/>
      <c r="C11" s="1808"/>
      <c r="D11" s="1808"/>
      <c r="E11" s="1808"/>
      <c r="F11" s="1808"/>
      <c r="G11" s="1327"/>
      <c r="H11" s="1327"/>
    </row>
    <row r="12" spans="1:8" ht="38.25" customHeight="1">
      <c r="A12" s="1327"/>
      <c r="B12" s="1809" t="s">
        <v>874</v>
      </c>
      <c r="C12" s="1811" t="s">
        <v>3</v>
      </c>
      <c r="D12" s="1815" t="s">
        <v>352</v>
      </c>
      <c r="E12" s="1817" t="s">
        <v>353</v>
      </c>
      <c r="F12" s="1819" t="s">
        <v>38</v>
      </c>
      <c r="G12" s="1813"/>
      <c r="H12" s="1327"/>
    </row>
    <row r="13" spans="1:8" ht="25.5" customHeight="1" thickBot="1">
      <c r="A13" s="1327"/>
      <c r="B13" s="1810"/>
      <c r="C13" s="1812"/>
      <c r="D13" s="1816"/>
      <c r="E13" s="1818"/>
      <c r="F13" s="1820"/>
      <c r="G13" s="1814"/>
      <c r="H13" s="1327"/>
    </row>
    <row r="14" spans="1:8" ht="10.5" customHeight="1" thickBot="1">
      <c r="A14" s="1327"/>
      <c r="B14" s="1332"/>
      <c r="C14" s="1333"/>
      <c r="D14" s="1334"/>
      <c r="E14" s="1334"/>
      <c r="F14" s="1332"/>
      <c r="G14" s="1326"/>
      <c r="H14" s="1327"/>
    </row>
    <row r="15" spans="1:8" ht="18.75" customHeight="1">
      <c r="A15" s="1327"/>
      <c r="B15" s="1335">
        <v>1</v>
      </c>
      <c r="C15" s="1336" t="s">
        <v>12</v>
      </c>
      <c r="D15" s="1337">
        <v>1</v>
      </c>
      <c r="E15" s="1338">
        <f>2.61*D15</f>
        <v>2.61</v>
      </c>
      <c r="F15" s="1339" t="s">
        <v>335</v>
      </c>
      <c r="G15" s="1327"/>
      <c r="H15" s="1327"/>
    </row>
    <row r="16" spans="1:8" ht="18.75" customHeight="1">
      <c r="A16" s="1327"/>
      <c r="B16" s="1340">
        <f>B15+1</f>
        <v>2</v>
      </c>
      <c r="C16" s="1341" t="s">
        <v>13</v>
      </c>
      <c r="D16" s="1342">
        <v>2</v>
      </c>
      <c r="E16" s="1343">
        <v>6.25664</v>
      </c>
      <c r="F16" s="1344" t="s">
        <v>335</v>
      </c>
      <c r="G16" s="1327"/>
      <c r="H16" s="1327"/>
    </row>
    <row r="17" spans="1:8" ht="18.75" customHeight="1">
      <c r="A17" s="1327"/>
      <c r="B17" s="1340">
        <f>B16+1</f>
        <v>3</v>
      </c>
      <c r="C17" s="1341" t="s">
        <v>421</v>
      </c>
      <c r="D17" s="1342">
        <v>2</v>
      </c>
      <c r="E17" s="1343">
        <f>2.61*D17</f>
        <v>5.22</v>
      </c>
      <c r="F17" s="1344" t="s">
        <v>423</v>
      </c>
      <c r="G17" s="1327"/>
      <c r="H17" s="1327"/>
    </row>
    <row r="18" spans="1:8" ht="18.75" customHeight="1">
      <c r="A18" s="1327"/>
      <c r="B18" s="1340">
        <f>B17+1</f>
        <v>4</v>
      </c>
      <c r="C18" s="1341" t="s">
        <v>392</v>
      </c>
      <c r="D18" s="1342">
        <v>2</v>
      </c>
      <c r="E18" s="1343">
        <f>2.61*D18</f>
        <v>5.22</v>
      </c>
      <c r="F18" s="1344" t="s">
        <v>335</v>
      </c>
      <c r="G18" s="1327"/>
      <c r="H18" s="1327"/>
    </row>
    <row r="19" spans="1:8" ht="18.75" customHeight="1">
      <c r="A19" s="1327"/>
      <c r="B19" s="1340">
        <f>B18+1</f>
        <v>5</v>
      </c>
      <c r="C19" s="1341" t="s">
        <v>634</v>
      </c>
      <c r="D19" s="1342">
        <v>2</v>
      </c>
      <c r="E19" s="1343">
        <f>2.61*D19</f>
        <v>5.22</v>
      </c>
      <c r="F19" s="1344" t="s">
        <v>335</v>
      </c>
      <c r="G19" s="1327"/>
      <c r="H19" s="1327"/>
    </row>
    <row r="20" spans="1:8" ht="18.75" customHeight="1">
      <c r="A20" s="1327"/>
      <c r="B20" s="1340">
        <v>6</v>
      </c>
      <c r="C20" s="1203" t="s">
        <v>428</v>
      </c>
      <c r="D20" s="1342">
        <v>1</v>
      </c>
      <c r="E20" s="1343">
        <v>2.61</v>
      </c>
      <c r="F20" s="1344" t="s">
        <v>335</v>
      </c>
      <c r="G20" s="1327"/>
      <c r="H20" s="1327"/>
    </row>
    <row r="21" spans="1:8" ht="18.75" customHeight="1" thickBot="1">
      <c r="A21" s="1327"/>
      <c r="B21" s="1340">
        <f>B19+1</f>
        <v>6</v>
      </c>
      <c r="C21" s="1341" t="s">
        <v>19</v>
      </c>
      <c r="D21" s="1345">
        <v>1</v>
      </c>
      <c r="E21" s="1346">
        <f>2.61*D21</f>
        <v>2.61</v>
      </c>
      <c r="F21" s="1344" t="s">
        <v>335</v>
      </c>
      <c r="G21" s="1327"/>
      <c r="H21" s="1327"/>
    </row>
    <row r="22" spans="1:8" ht="18.75" customHeight="1" thickBot="1">
      <c r="A22" s="1327"/>
      <c r="B22" s="1347"/>
      <c r="C22" s="1348"/>
      <c r="D22" s="1349">
        <f>SUBTOTAL(9,D15:D21)</f>
        <v>11</v>
      </c>
      <c r="E22" s="1350">
        <f>SUBTOTAL(9,E15:E21)</f>
        <v>29.746639999999996</v>
      </c>
      <c r="F22" s="1351"/>
      <c r="G22" s="1327"/>
      <c r="H22" s="1327"/>
    </row>
    <row r="23" spans="1:8" ht="18.75" customHeight="1">
      <c r="A23" s="1327"/>
      <c r="B23" s="1352"/>
      <c r="C23" s="1353"/>
      <c r="D23" s="1354"/>
      <c r="E23" s="1355"/>
      <c r="F23" s="1352"/>
      <c r="G23" s="1327"/>
      <c r="H23" s="1327"/>
    </row>
    <row r="24" spans="1:8" ht="18.75" customHeight="1">
      <c r="A24" s="1327"/>
      <c r="B24" s="1328"/>
      <c r="C24" s="1327"/>
      <c r="D24" s="1327"/>
      <c r="E24" s="1327"/>
      <c r="F24" s="1328"/>
      <c r="G24" s="1327"/>
      <c r="H24" s="1327"/>
    </row>
    <row r="25" spans="1:8" ht="18.75" customHeight="1">
      <c r="A25" s="1327"/>
      <c r="B25" s="1328"/>
      <c r="C25" s="1327" t="s">
        <v>73</v>
      </c>
      <c r="D25" s="1327"/>
      <c r="E25" s="1329" t="s">
        <v>356</v>
      </c>
      <c r="F25" s="1328"/>
      <c r="G25" s="1327"/>
      <c r="H25" s="1327"/>
    </row>
    <row r="26" spans="1:8" ht="18.75" customHeight="1">
      <c r="A26" s="1327"/>
      <c r="B26" s="1328"/>
      <c r="C26" s="1327"/>
      <c r="D26" s="1327"/>
      <c r="E26" s="1327"/>
      <c r="F26" s="1328"/>
      <c r="G26" s="1327"/>
      <c r="H26" s="1327"/>
    </row>
    <row r="27" spans="1:8" ht="15">
      <c r="A27" s="1327"/>
      <c r="B27" s="1328"/>
      <c r="C27" s="1327"/>
      <c r="D27" s="1327"/>
      <c r="E27" s="1327"/>
      <c r="F27" s="1328"/>
      <c r="G27" s="1327"/>
      <c r="H27" s="1327"/>
    </row>
    <row r="28" spans="1:8" ht="15">
      <c r="A28" s="1327"/>
      <c r="B28" s="1328"/>
      <c r="C28" s="1327"/>
      <c r="D28" s="1327"/>
      <c r="E28" s="1327"/>
      <c r="F28" s="1328"/>
      <c r="G28" s="1327"/>
      <c r="H28" s="1327"/>
    </row>
    <row r="29" spans="1:8" ht="15">
      <c r="A29" s="1327"/>
      <c r="B29" s="1328"/>
      <c r="C29" s="1327"/>
      <c r="D29" s="1327"/>
      <c r="E29" s="1327"/>
      <c r="F29" s="1328"/>
      <c r="G29" s="1327"/>
      <c r="H29" s="1327"/>
    </row>
    <row r="30" spans="1:8" ht="15">
      <c r="A30" s="1327"/>
      <c r="B30" s="1328"/>
      <c r="C30" s="1327"/>
      <c r="D30" s="1327"/>
      <c r="E30" s="1327"/>
      <c r="F30" s="1328"/>
      <c r="G30" s="1327"/>
      <c r="H30" s="1327"/>
    </row>
  </sheetData>
  <sheetProtection/>
  <autoFilter ref="B14:F14"/>
  <mergeCells count="14">
    <mergeCell ref="E2:F2"/>
    <mergeCell ref="E3:F3"/>
    <mergeCell ref="E4:F4"/>
    <mergeCell ref="E5:F5"/>
    <mergeCell ref="B8:F8"/>
    <mergeCell ref="B9:F9"/>
    <mergeCell ref="C10:F10"/>
    <mergeCell ref="B11:F11"/>
    <mergeCell ref="B12:B13"/>
    <mergeCell ref="C12:C13"/>
    <mergeCell ref="G12:G13"/>
    <mergeCell ref="D12:D13"/>
    <mergeCell ref="E12:E13"/>
    <mergeCell ref="F12:F13"/>
  </mergeCells>
  <printOptions/>
  <pageMargins left="0.5118110236220472" right="0.1968503937007874" top="0.5905511811023623" bottom="0.5905511811023623" header="0.31496062992125984" footer="0.31496062992125984"/>
  <pageSetup fitToHeight="0" fitToWidth="0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E77"/>
  <sheetViews>
    <sheetView tabSelected="1" zoomScalePageLayoutView="0" workbookViewId="0" topLeftCell="A1">
      <selection activeCell="I44" sqref="I44"/>
    </sheetView>
  </sheetViews>
  <sheetFormatPr defaultColWidth="9.00390625" defaultRowHeight="12.75"/>
  <cols>
    <col min="2" max="2" width="31.125" style="0" customWidth="1"/>
    <col min="3" max="3" width="5.625" style="6" customWidth="1"/>
    <col min="4" max="4" width="9.125" style="6" customWidth="1"/>
    <col min="5" max="5" width="12.125" style="0" customWidth="1"/>
  </cols>
  <sheetData>
    <row r="2" ht="13.5" thickBot="1">
      <c r="B2" t="s">
        <v>342</v>
      </c>
    </row>
    <row r="3" spans="2:5" ht="13.5" thickBot="1">
      <c r="B3" s="622"/>
      <c r="C3" s="623" t="s">
        <v>339</v>
      </c>
      <c r="D3" s="623" t="s">
        <v>340</v>
      </c>
      <c r="E3" s="624" t="s">
        <v>341</v>
      </c>
    </row>
    <row r="4" spans="2:5" ht="12.75">
      <c r="B4" s="885" t="s">
        <v>632</v>
      </c>
      <c r="C4" s="886" t="s">
        <v>529</v>
      </c>
      <c r="D4" s="886">
        <v>12</v>
      </c>
      <c r="E4" s="887"/>
    </row>
    <row r="5" spans="2:5" ht="12.75">
      <c r="B5" s="627" t="s">
        <v>566</v>
      </c>
      <c r="C5" s="630" t="s">
        <v>697</v>
      </c>
      <c r="D5" s="630">
        <v>16</v>
      </c>
      <c r="E5" s="628" t="s">
        <v>548</v>
      </c>
    </row>
    <row r="6" spans="2:5" ht="12.75">
      <c r="B6" s="627" t="s">
        <v>564</v>
      </c>
      <c r="C6" s="630" t="s">
        <v>528</v>
      </c>
      <c r="D6" s="630">
        <v>15</v>
      </c>
      <c r="E6" s="628" t="s">
        <v>693</v>
      </c>
    </row>
    <row r="7" spans="2:5" ht="12.75">
      <c r="B7" s="627" t="s">
        <v>44</v>
      </c>
      <c r="C7" s="630" t="s">
        <v>530</v>
      </c>
      <c r="D7" s="630">
        <v>10</v>
      </c>
      <c r="E7" s="628"/>
    </row>
    <row r="8" spans="2:5" ht="12.75">
      <c r="B8" s="627" t="s">
        <v>726</v>
      </c>
      <c r="C8" s="630" t="s">
        <v>727</v>
      </c>
      <c r="D8" s="630">
        <v>6</v>
      </c>
      <c r="E8" s="628"/>
    </row>
    <row r="9" spans="2:5" ht="12.75">
      <c r="B9" s="627" t="s">
        <v>688</v>
      </c>
      <c r="C9" s="630" t="s">
        <v>529</v>
      </c>
      <c r="D9" s="630">
        <v>12</v>
      </c>
      <c r="E9" s="628" t="s">
        <v>497</v>
      </c>
    </row>
    <row r="10" spans="2:5" ht="12.75">
      <c r="B10" s="627" t="s">
        <v>686</v>
      </c>
      <c r="C10" s="630" t="s">
        <v>528</v>
      </c>
      <c r="D10" s="630">
        <v>15</v>
      </c>
      <c r="E10" s="628" t="s">
        <v>687</v>
      </c>
    </row>
    <row r="11" spans="2:5" ht="12.75">
      <c r="B11" s="627" t="s">
        <v>685</v>
      </c>
      <c r="C11" s="630" t="s">
        <v>681</v>
      </c>
      <c r="D11" s="630">
        <v>8</v>
      </c>
      <c r="E11" s="628"/>
    </row>
    <row r="12" spans="2:5" ht="12.75">
      <c r="B12" s="627" t="s">
        <v>639</v>
      </c>
      <c r="C12" s="630" t="s">
        <v>681</v>
      </c>
      <c r="D12" s="630">
        <v>8</v>
      </c>
      <c r="E12" s="628"/>
    </row>
    <row r="13" spans="2:5" ht="12.75">
      <c r="B13" s="627" t="s">
        <v>640</v>
      </c>
      <c r="C13" s="630" t="s">
        <v>681</v>
      </c>
      <c r="D13" s="630">
        <v>8</v>
      </c>
      <c r="E13" s="628"/>
    </row>
    <row r="14" spans="2:5" ht="12.75">
      <c r="B14" s="627" t="s">
        <v>641</v>
      </c>
      <c r="C14" s="630" t="s">
        <v>681</v>
      </c>
      <c r="D14" s="630">
        <v>8</v>
      </c>
      <c r="E14" s="628"/>
    </row>
    <row r="15" spans="2:5" ht="12.75">
      <c r="B15" s="627" t="s">
        <v>642</v>
      </c>
      <c r="C15" s="630" t="s">
        <v>681</v>
      </c>
      <c r="D15" s="630">
        <v>8</v>
      </c>
      <c r="E15" s="628"/>
    </row>
    <row r="16" spans="2:5" ht="12.75">
      <c r="B16" s="627" t="s">
        <v>28</v>
      </c>
      <c r="C16" s="630" t="s">
        <v>528</v>
      </c>
      <c r="D16" s="630">
        <v>15</v>
      </c>
      <c r="E16" s="628"/>
    </row>
    <row r="17" spans="2:5" ht="12.75">
      <c r="B17" s="627" t="s">
        <v>665</v>
      </c>
      <c r="C17" s="630" t="s">
        <v>668</v>
      </c>
      <c r="D17" s="630">
        <v>36</v>
      </c>
      <c r="E17" s="628"/>
    </row>
    <row r="18" spans="2:5" ht="12.75">
      <c r="B18" s="627" t="s">
        <v>732</v>
      </c>
      <c r="C18" s="630" t="s">
        <v>729</v>
      </c>
      <c r="D18" s="630">
        <v>12</v>
      </c>
      <c r="E18" s="628"/>
    </row>
    <row r="19" spans="2:5" ht="12.75">
      <c r="B19" s="627" t="s">
        <v>728</v>
      </c>
      <c r="C19" s="630" t="s">
        <v>729</v>
      </c>
      <c r="D19" s="630">
        <v>12</v>
      </c>
      <c r="E19" s="628" t="s">
        <v>725</v>
      </c>
    </row>
    <row r="20" spans="2:5" ht="12.75">
      <c r="B20" s="627" t="s">
        <v>428</v>
      </c>
      <c r="C20" s="630" t="s">
        <v>529</v>
      </c>
      <c r="D20" s="630">
        <v>12</v>
      </c>
      <c r="E20" s="628"/>
    </row>
    <row r="21" spans="2:5" ht="12.75">
      <c r="B21" s="627" t="s">
        <v>526</v>
      </c>
      <c r="C21" s="630" t="s">
        <v>528</v>
      </c>
      <c r="D21" s="630">
        <v>15</v>
      </c>
      <c r="E21" s="628"/>
    </row>
    <row r="22" spans="2:5" ht="12.75">
      <c r="B22" s="627" t="s">
        <v>531</v>
      </c>
      <c r="C22" s="630" t="s">
        <v>533</v>
      </c>
      <c r="D22" s="630">
        <v>105</v>
      </c>
      <c r="E22" s="628"/>
    </row>
    <row r="23" spans="2:5" ht="12.75">
      <c r="B23" s="627" t="s">
        <v>532</v>
      </c>
      <c r="C23" s="630" t="s">
        <v>530</v>
      </c>
      <c r="D23" s="630">
        <v>10</v>
      </c>
      <c r="E23" s="628"/>
    </row>
    <row r="24" spans="2:5" ht="12.75">
      <c r="B24" s="627" t="s">
        <v>536</v>
      </c>
      <c r="C24" s="630" t="s">
        <v>537</v>
      </c>
      <c r="D24" s="630">
        <v>30</v>
      </c>
      <c r="E24" s="628"/>
    </row>
    <row r="25" spans="2:5" ht="13.5" thickBot="1">
      <c r="B25" s="142" t="s">
        <v>539</v>
      </c>
      <c r="C25" s="652" t="s">
        <v>540</v>
      </c>
      <c r="D25" s="652">
        <v>5</v>
      </c>
      <c r="E25" s="629"/>
    </row>
    <row r="26" ht="12.75">
      <c r="D26" s="6">
        <f>SUM(D4:D25)</f>
        <v>378</v>
      </c>
    </row>
    <row r="29" ht="13.5" thickBot="1">
      <c r="B29" t="s">
        <v>405</v>
      </c>
    </row>
    <row r="30" spans="2:5" ht="13.5" thickBot="1">
      <c r="B30" s="622"/>
      <c r="C30" s="623" t="s">
        <v>339</v>
      </c>
      <c r="D30" s="623"/>
      <c r="E30" s="624"/>
    </row>
    <row r="31" spans="2:5" ht="12.75">
      <c r="B31" s="625" t="s">
        <v>452</v>
      </c>
      <c r="C31" s="651">
        <v>4</v>
      </c>
      <c r="D31" s="651" t="s">
        <v>673</v>
      </c>
      <c r="E31" s="626" t="s">
        <v>404</v>
      </c>
    </row>
    <row r="32" spans="2:5" ht="12.75">
      <c r="B32" s="627" t="s">
        <v>444</v>
      </c>
      <c r="C32" s="630">
        <v>1</v>
      </c>
      <c r="D32" s="630" t="s">
        <v>673</v>
      </c>
      <c r="E32" s="628" t="s">
        <v>404</v>
      </c>
    </row>
    <row r="33" spans="2:5" ht="12.75">
      <c r="B33" s="627" t="s">
        <v>100</v>
      </c>
      <c r="C33" s="630">
        <v>4</v>
      </c>
      <c r="D33" s="630" t="s">
        <v>673</v>
      </c>
      <c r="E33" s="628" t="s">
        <v>404</v>
      </c>
    </row>
    <row r="34" spans="2:5" ht="12.75">
      <c r="B34" s="627" t="s">
        <v>27</v>
      </c>
      <c r="C34" s="630">
        <v>4</v>
      </c>
      <c r="D34" s="630" t="s">
        <v>673</v>
      </c>
      <c r="E34" s="628" t="s">
        <v>404</v>
      </c>
    </row>
    <row r="35" spans="2:5" ht="12.75">
      <c r="B35" s="627" t="s">
        <v>457</v>
      </c>
      <c r="C35" s="630">
        <v>1</v>
      </c>
      <c r="D35" s="630" t="s">
        <v>673</v>
      </c>
      <c r="E35" s="628" t="s">
        <v>404</v>
      </c>
    </row>
    <row r="36" spans="2:5" ht="12.75">
      <c r="B36" s="627" t="s">
        <v>425</v>
      </c>
      <c r="C36" s="630">
        <v>1</v>
      </c>
      <c r="D36" s="630" t="s">
        <v>673</v>
      </c>
      <c r="E36" s="628" t="s">
        <v>404</v>
      </c>
    </row>
    <row r="37" spans="2:5" ht="12.75">
      <c r="B37" s="627" t="s">
        <v>454</v>
      </c>
      <c r="C37" s="630">
        <v>3</v>
      </c>
      <c r="D37" s="630" t="s">
        <v>673</v>
      </c>
      <c r="E37" s="628" t="s">
        <v>404</v>
      </c>
    </row>
    <row r="38" spans="2:5" ht="12.75">
      <c r="B38" s="888" t="s">
        <v>440</v>
      </c>
      <c r="C38" s="630">
        <v>2</v>
      </c>
      <c r="D38" s="630" t="s">
        <v>673</v>
      </c>
      <c r="E38" s="628" t="s">
        <v>404</v>
      </c>
    </row>
    <row r="39" spans="2:5" ht="12.75">
      <c r="B39" s="627" t="s">
        <v>438</v>
      </c>
      <c r="C39" s="630">
        <v>3</v>
      </c>
      <c r="D39" s="630" t="s">
        <v>673</v>
      </c>
      <c r="E39" s="628" t="s">
        <v>404</v>
      </c>
    </row>
    <row r="40" spans="2:5" ht="12.75">
      <c r="B40" s="627" t="s">
        <v>431</v>
      </c>
      <c r="C40" s="630">
        <v>3</v>
      </c>
      <c r="D40" s="630" t="s">
        <v>673</v>
      </c>
      <c r="E40" s="628" t="s">
        <v>404</v>
      </c>
    </row>
    <row r="41" spans="2:5" ht="12.75">
      <c r="B41" s="627" t="s">
        <v>429</v>
      </c>
      <c r="C41" s="630">
        <v>3</v>
      </c>
      <c r="D41" s="630" t="s">
        <v>673</v>
      </c>
      <c r="E41" s="628" t="s">
        <v>404</v>
      </c>
    </row>
    <row r="42" spans="2:5" ht="12.75">
      <c r="B42" s="889" t="s">
        <v>123</v>
      </c>
      <c r="C42" s="630">
        <v>2</v>
      </c>
      <c r="D42" s="630" t="s">
        <v>673</v>
      </c>
      <c r="E42" s="628" t="s">
        <v>404</v>
      </c>
    </row>
    <row r="43" spans="2:5" ht="12.75">
      <c r="B43" s="627" t="s">
        <v>421</v>
      </c>
      <c r="C43" s="630">
        <v>2</v>
      </c>
      <c r="D43" s="630" t="s">
        <v>673</v>
      </c>
      <c r="E43" s="628" t="s">
        <v>404</v>
      </c>
    </row>
    <row r="44" spans="2:5" ht="12.75">
      <c r="B44" s="627" t="s">
        <v>446</v>
      </c>
      <c r="C44" s="630">
        <v>4</v>
      </c>
      <c r="D44" s="630" t="s">
        <v>673</v>
      </c>
      <c r="E44" s="628" t="s">
        <v>404</v>
      </c>
    </row>
    <row r="45" spans="2:5" ht="12.75">
      <c r="B45" s="627" t="s">
        <v>451</v>
      </c>
      <c r="C45" s="630">
        <v>4</v>
      </c>
      <c r="D45" s="630" t="s">
        <v>673</v>
      </c>
      <c r="E45" s="628" t="s">
        <v>404</v>
      </c>
    </row>
    <row r="46" spans="2:5" ht="12.75">
      <c r="B46" s="627" t="s">
        <v>442</v>
      </c>
      <c r="C46" s="630">
        <v>2</v>
      </c>
      <c r="D46" s="630" t="s">
        <v>673</v>
      </c>
      <c r="E46" s="628" t="s">
        <v>404</v>
      </c>
    </row>
    <row r="47" spans="2:5" ht="12.75">
      <c r="B47" s="627" t="s">
        <v>439</v>
      </c>
      <c r="C47" s="630">
        <v>2</v>
      </c>
      <c r="D47" s="630" t="s">
        <v>673</v>
      </c>
      <c r="E47" s="628" t="s">
        <v>404</v>
      </c>
    </row>
    <row r="48" spans="2:5" ht="12.75">
      <c r="B48" s="627" t="s">
        <v>453</v>
      </c>
      <c r="C48" s="630">
        <v>4</v>
      </c>
      <c r="D48" s="630" t="s">
        <v>673</v>
      </c>
      <c r="E48" s="628" t="s">
        <v>404</v>
      </c>
    </row>
    <row r="49" spans="2:5" ht="12.75">
      <c r="B49" s="627" t="s">
        <v>466</v>
      </c>
      <c r="C49" s="630">
        <v>4</v>
      </c>
      <c r="D49" s="630" t="s">
        <v>673</v>
      </c>
      <c r="E49" s="628" t="s">
        <v>404</v>
      </c>
    </row>
    <row r="50" spans="2:5" ht="12.75">
      <c r="B50" s="627" t="s">
        <v>428</v>
      </c>
      <c r="C50" s="630">
        <v>1</v>
      </c>
      <c r="D50" s="630" t="s">
        <v>673</v>
      </c>
      <c r="E50" s="628" t="s">
        <v>404</v>
      </c>
    </row>
    <row r="51" spans="2:5" ht="12.75">
      <c r="B51" s="627" t="s">
        <v>460</v>
      </c>
      <c r="C51" s="630">
        <v>4</v>
      </c>
      <c r="D51" s="630" t="s">
        <v>673</v>
      </c>
      <c r="E51" s="628" t="s">
        <v>404</v>
      </c>
    </row>
    <row r="52" spans="2:5" ht="1.5" customHeight="1">
      <c r="B52" s="881"/>
      <c r="C52" s="882"/>
      <c r="D52" s="882"/>
      <c r="E52" s="883"/>
    </row>
    <row r="53" spans="2:5" ht="12.75">
      <c r="B53" s="627" t="s">
        <v>28</v>
      </c>
      <c r="C53" s="665">
        <v>2</v>
      </c>
      <c r="D53" s="665" t="s">
        <v>674</v>
      </c>
      <c r="E53" s="666" t="s">
        <v>669</v>
      </c>
    </row>
    <row r="54" spans="2:5" ht="12.75">
      <c r="B54" s="627" t="s">
        <v>672</v>
      </c>
      <c r="C54" s="665">
        <v>1</v>
      </c>
      <c r="D54" s="665" t="s">
        <v>674</v>
      </c>
      <c r="E54" s="666" t="s">
        <v>430</v>
      </c>
    </row>
    <row r="55" spans="2:5" ht="12.75">
      <c r="B55" s="627" t="s">
        <v>642</v>
      </c>
      <c r="C55" s="665">
        <v>1</v>
      </c>
      <c r="D55" s="665" t="s">
        <v>674</v>
      </c>
      <c r="E55" s="666"/>
    </row>
    <row r="56" spans="2:5" ht="12.75">
      <c r="B56" s="627" t="s">
        <v>639</v>
      </c>
      <c r="C56" s="665">
        <v>1</v>
      </c>
      <c r="D56" s="665" t="s">
        <v>674</v>
      </c>
      <c r="E56" s="666" t="s">
        <v>391</v>
      </c>
    </row>
    <row r="57" spans="2:5" ht="12.75">
      <c r="B57" s="664" t="s">
        <v>722</v>
      </c>
      <c r="C57" s="665">
        <v>2</v>
      </c>
      <c r="D57" s="665" t="s">
        <v>674</v>
      </c>
      <c r="E57" s="666"/>
    </row>
    <row r="58" spans="2:5" ht="12.75">
      <c r="B58" s="664" t="s">
        <v>734</v>
      </c>
      <c r="C58" s="665">
        <v>3</v>
      </c>
      <c r="D58" s="665" t="s">
        <v>674</v>
      </c>
      <c r="E58" s="666"/>
    </row>
    <row r="59" spans="2:5" ht="12.75">
      <c r="B59" s="664" t="s">
        <v>675</v>
      </c>
      <c r="C59" s="665">
        <v>2</v>
      </c>
      <c r="D59" s="665" t="s">
        <v>674</v>
      </c>
      <c r="E59" s="666"/>
    </row>
    <row r="60" spans="2:5" ht="12.75">
      <c r="B60" s="664" t="s">
        <v>736</v>
      </c>
      <c r="C60" s="665">
        <v>6</v>
      </c>
      <c r="D60" s="665" t="s">
        <v>674</v>
      </c>
      <c r="E60" s="666"/>
    </row>
    <row r="61" spans="2:5" ht="12.75">
      <c r="B61" s="664" t="s">
        <v>738</v>
      </c>
      <c r="C61" s="665">
        <v>1</v>
      </c>
      <c r="D61" s="665" t="s">
        <v>674</v>
      </c>
      <c r="E61" s="666"/>
    </row>
    <row r="62" spans="2:5" ht="12.75">
      <c r="B62" s="664" t="s">
        <v>740</v>
      </c>
      <c r="C62" s="665">
        <v>1</v>
      </c>
      <c r="D62" s="665" t="s">
        <v>674</v>
      </c>
      <c r="E62" s="666"/>
    </row>
    <row r="63" spans="2:5" ht="12.75">
      <c r="B63" s="664" t="s">
        <v>635</v>
      </c>
      <c r="C63" s="665">
        <v>4</v>
      </c>
      <c r="D63" s="665" t="s">
        <v>674</v>
      </c>
      <c r="E63" s="666"/>
    </row>
    <row r="64" spans="2:5" ht="12.75">
      <c r="B64" s="664" t="s">
        <v>636</v>
      </c>
      <c r="C64" s="665">
        <v>4</v>
      </c>
      <c r="D64" s="665" t="s">
        <v>674</v>
      </c>
      <c r="E64" s="666"/>
    </row>
    <row r="65" spans="2:5" ht="12.75">
      <c r="B65" s="664" t="s">
        <v>744</v>
      </c>
      <c r="C65" s="665">
        <v>4</v>
      </c>
      <c r="D65" s="665" t="s">
        <v>674</v>
      </c>
      <c r="E65" s="666"/>
    </row>
    <row r="66" spans="2:5" ht="13.5" thickBot="1">
      <c r="B66" s="664" t="s">
        <v>745</v>
      </c>
      <c r="C66" s="665">
        <v>4</v>
      </c>
      <c r="D66" s="665" t="s">
        <v>674</v>
      </c>
      <c r="E66" s="666"/>
    </row>
    <row r="67" spans="2:5" ht="13.5" thickBot="1">
      <c r="B67" s="890"/>
      <c r="C67" s="891">
        <f>SUM(C31:C66)</f>
        <v>94</v>
      </c>
      <c r="D67" s="891"/>
      <c r="E67" s="97"/>
    </row>
    <row r="70" ht="13.5" thickBot="1">
      <c r="B70" t="s">
        <v>409</v>
      </c>
    </row>
    <row r="71" spans="2:5" ht="12.75">
      <c r="B71" s="885" t="s">
        <v>100</v>
      </c>
      <c r="C71" s="886">
        <v>4</v>
      </c>
      <c r="D71" s="886"/>
      <c r="E71" s="892" t="s">
        <v>410</v>
      </c>
    </row>
    <row r="72" spans="2:5" ht="12.75">
      <c r="B72" s="627" t="s">
        <v>719</v>
      </c>
      <c r="C72" s="630">
        <v>1</v>
      </c>
      <c r="D72" s="630"/>
      <c r="E72" s="893" t="s">
        <v>720</v>
      </c>
    </row>
    <row r="73" spans="2:5" ht="12.75">
      <c r="B73" s="627" t="s">
        <v>123</v>
      </c>
      <c r="C73" s="630">
        <v>2</v>
      </c>
      <c r="D73" s="630"/>
      <c r="E73" s="893" t="s">
        <v>424</v>
      </c>
    </row>
    <row r="74" spans="2:5" ht="12.75">
      <c r="B74" s="627" t="s">
        <v>46</v>
      </c>
      <c r="C74" s="630">
        <v>3</v>
      </c>
      <c r="D74" s="630"/>
      <c r="E74" s="893" t="s">
        <v>417</v>
      </c>
    </row>
    <row r="75" spans="2:5" ht="12.75">
      <c r="B75" s="627" t="s">
        <v>690</v>
      </c>
      <c r="C75" s="630">
        <v>1</v>
      </c>
      <c r="D75" s="630"/>
      <c r="E75" s="893"/>
    </row>
    <row r="76" spans="2:5" ht="12.75">
      <c r="B76" s="627" t="s">
        <v>460</v>
      </c>
      <c r="C76" s="630">
        <v>4</v>
      </c>
      <c r="D76" s="630"/>
      <c r="E76" s="893" t="s">
        <v>461</v>
      </c>
    </row>
    <row r="77" spans="2:5" ht="13.5" thickBot="1">
      <c r="B77" s="142" t="s">
        <v>462</v>
      </c>
      <c r="C77" s="652">
        <v>2</v>
      </c>
      <c r="D77" s="652"/>
      <c r="E77" s="894" t="s">
        <v>464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56"/>
  <sheetViews>
    <sheetView workbookViewId="0" topLeftCell="A34">
      <selection activeCell="C11" sqref="C11"/>
    </sheetView>
  </sheetViews>
  <sheetFormatPr defaultColWidth="9.00390625" defaultRowHeight="12.75"/>
  <cols>
    <col min="1" max="1" width="5.00390625" style="1384" customWidth="1"/>
    <col min="2" max="2" width="20.00390625" style="3" customWidth="1"/>
    <col min="3" max="4" width="6.25390625" style="3" customWidth="1"/>
    <col min="5" max="6" width="8.875" style="3" customWidth="1"/>
    <col min="7" max="7" width="8.75390625" style="1384" customWidth="1"/>
    <col min="8" max="8" width="8.25390625" style="3" customWidth="1"/>
    <col min="9" max="9" width="9.00390625" style="3" customWidth="1"/>
    <col min="10" max="10" width="12.25390625" style="3" customWidth="1"/>
    <col min="11" max="11" width="24.75390625" style="0" customWidth="1"/>
  </cols>
  <sheetData>
    <row r="1" ht="12.75">
      <c r="J1" s="576"/>
    </row>
    <row r="2" spans="9:10" ht="12.75">
      <c r="I2" s="576"/>
      <c r="J2" s="576" t="s">
        <v>133</v>
      </c>
    </row>
    <row r="3" spans="8:10" ht="12.75">
      <c r="H3" s="576"/>
      <c r="J3" s="576" t="s">
        <v>1</v>
      </c>
    </row>
    <row r="4" spans="8:10" ht="12.75">
      <c r="H4" s="576"/>
      <c r="J4" s="576" t="s">
        <v>270</v>
      </c>
    </row>
    <row r="5" spans="8:10" ht="12.75">
      <c r="H5" s="1385"/>
      <c r="I5" s="1385"/>
      <c r="J5" s="576" t="s">
        <v>383</v>
      </c>
    </row>
    <row r="6" spans="8:10" ht="12.75">
      <c r="H6" s="1384"/>
      <c r="I6" s="576"/>
      <c r="J6" s="576"/>
    </row>
    <row r="7" spans="1:10" ht="12.75">
      <c r="A7" s="1591" t="s">
        <v>33</v>
      </c>
      <c r="B7" s="1591"/>
      <c r="C7" s="1591"/>
      <c r="D7" s="1591"/>
      <c r="E7" s="1591"/>
      <c r="F7" s="1591"/>
      <c r="G7" s="1591"/>
      <c r="H7" s="1591"/>
      <c r="I7" s="1591"/>
      <c r="J7" s="1591"/>
    </row>
    <row r="8" spans="1:10" ht="12.75">
      <c r="A8" s="1591" t="s">
        <v>34</v>
      </c>
      <c r="B8" s="1591"/>
      <c r="C8" s="1591"/>
      <c r="D8" s="1591"/>
      <c r="E8" s="1591"/>
      <c r="F8" s="1591"/>
      <c r="G8" s="1591"/>
      <c r="H8" s="1591"/>
      <c r="I8" s="1591"/>
      <c r="J8" s="1591"/>
    </row>
    <row r="9" spans="1:10" ht="12.75">
      <c r="A9" s="1591" t="s">
        <v>384</v>
      </c>
      <c r="B9" s="1591"/>
      <c r="C9" s="1591"/>
      <c r="D9" s="1591"/>
      <c r="E9" s="1591"/>
      <c r="F9" s="1591"/>
      <c r="G9" s="1591"/>
      <c r="H9" s="1591"/>
      <c r="I9" s="1591"/>
      <c r="J9" s="1591"/>
    </row>
    <row r="10" spans="1:10" ht="12.75">
      <c r="A10" s="1591" t="s">
        <v>35</v>
      </c>
      <c r="B10" s="1591"/>
      <c r="C10" s="1591"/>
      <c r="D10" s="1591"/>
      <c r="E10" s="1591"/>
      <c r="F10" s="1591"/>
      <c r="G10" s="1591"/>
      <c r="H10" s="1591"/>
      <c r="I10" s="1591"/>
      <c r="J10" s="1591"/>
    </row>
    <row r="11" ht="13.5" thickBot="1"/>
    <row r="12" spans="1:10" ht="13.5" thickBot="1">
      <c r="A12" s="1598" t="s">
        <v>36</v>
      </c>
      <c r="B12" s="1601" t="s">
        <v>3</v>
      </c>
      <c r="C12" s="1589" t="s">
        <v>37</v>
      </c>
      <c r="D12" s="1590"/>
      <c r="E12" s="1590"/>
      <c r="F12" s="1590"/>
      <c r="G12" s="1590"/>
      <c r="H12" s="1590"/>
      <c r="I12" s="1590"/>
      <c r="J12" s="1823"/>
    </row>
    <row r="13" spans="1:10" ht="14.25" customHeight="1">
      <c r="A13" s="1599"/>
      <c r="B13" s="1602"/>
      <c r="C13" s="1594" t="s">
        <v>370</v>
      </c>
      <c r="D13" s="1596" t="s">
        <v>371</v>
      </c>
      <c r="E13" s="1594" t="s">
        <v>372</v>
      </c>
      <c r="F13" s="1596" t="s">
        <v>371</v>
      </c>
      <c r="G13" s="1592" t="s">
        <v>369</v>
      </c>
      <c r="H13" s="1596" t="s">
        <v>373</v>
      </c>
      <c r="I13" s="1592" t="s">
        <v>41</v>
      </c>
      <c r="J13" s="1824" t="s">
        <v>39</v>
      </c>
    </row>
    <row r="14" spans="1:10" ht="93.75" customHeight="1" thickBot="1">
      <c r="A14" s="1600"/>
      <c r="B14" s="1603"/>
      <c r="C14" s="1595"/>
      <c r="D14" s="1597"/>
      <c r="E14" s="1595"/>
      <c r="F14" s="1597"/>
      <c r="G14" s="1593"/>
      <c r="H14" s="1597"/>
      <c r="I14" s="1593"/>
      <c r="J14" s="1825"/>
    </row>
    <row r="15" spans="1:10" ht="7.5" customHeight="1" thickBot="1">
      <c r="A15" s="1386"/>
      <c r="B15" s="1387"/>
      <c r="C15" s="1388"/>
      <c r="D15" s="1389"/>
      <c r="E15" s="1388"/>
      <c r="F15" s="1390"/>
      <c r="G15" s="1391"/>
      <c r="H15" s="1390"/>
      <c r="I15" s="1391"/>
      <c r="J15" s="1826"/>
    </row>
    <row r="16" spans="1:13" ht="15" customHeight="1">
      <c r="A16" s="1392">
        <v>1</v>
      </c>
      <c r="B16" s="53" t="s">
        <v>452</v>
      </c>
      <c r="C16" s="660"/>
      <c r="D16" s="1270"/>
      <c r="E16" s="660">
        <v>70</v>
      </c>
      <c r="F16" s="1276">
        <v>13.3</v>
      </c>
      <c r="G16" s="791"/>
      <c r="H16" s="790"/>
      <c r="I16" s="656">
        <v>4</v>
      </c>
      <c r="J16" s="1827">
        <v>2.07328</v>
      </c>
      <c r="M16" s="51"/>
    </row>
    <row r="17" spans="1:13" ht="15" customHeight="1">
      <c r="A17" s="1392">
        <f>A16+1</f>
        <v>2</v>
      </c>
      <c r="B17" s="52" t="s">
        <v>444</v>
      </c>
      <c r="C17" s="780"/>
      <c r="D17" s="781"/>
      <c r="E17" s="1271">
        <v>50</v>
      </c>
      <c r="F17" s="1275">
        <v>9.5</v>
      </c>
      <c r="G17" s="791"/>
      <c r="H17" s="1393"/>
      <c r="I17" s="656"/>
      <c r="J17" s="654"/>
      <c r="M17" s="51"/>
    </row>
    <row r="18" spans="1:13" ht="15" customHeight="1">
      <c r="A18" s="1392">
        <f aca="true" t="shared" si="0" ref="A18:A52">A17+1</f>
        <v>3</v>
      </c>
      <c r="B18" s="779" t="s">
        <v>701</v>
      </c>
      <c r="C18" s="780"/>
      <c r="D18" s="781"/>
      <c r="E18" s="782"/>
      <c r="F18" s="658"/>
      <c r="G18" s="1394">
        <v>1</v>
      </c>
      <c r="H18" s="655">
        <f>G18*0.420906667</f>
        <v>0.420906667</v>
      </c>
      <c r="I18" s="783"/>
      <c r="J18" s="654"/>
      <c r="M18" s="51"/>
    </row>
    <row r="19" spans="1:13" ht="15" customHeight="1">
      <c r="A19" s="1392">
        <f t="shared" si="0"/>
        <v>4</v>
      </c>
      <c r="B19" s="53" t="s">
        <v>702</v>
      </c>
      <c r="C19" s="657"/>
      <c r="D19" s="659"/>
      <c r="E19" s="656"/>
      <c r="F19" s="658"/>
      <c r="G19" s="1394">
        <v>2</v>
      </c>
      <c r="H19" s="655">
        <f>G19*0.420906667</f>
        <v>0.841813334</v>
      </c>
      <c r="I19" s="783"/>
      <c r="J19" s="654"/>
      <c r="M19" s="51"/>
    </row>
    <row r="20" spans="1:13" ht="15" customHeight="1">
      <c r="A20" s="1392">
        <f t="shared" si="0"/>
        <v>5</v>
      </c>
      <c r="B20" s="53" t="s">
        <v>704</v>
      </c>
      <c r="C20" s="657"/>
      <c r="D20" s="659"/>
      <c r="E20" s="656"/>
      <c r="F20" s="654"/>
      <c r="G20" s="1394">
        <v>2</v>
      </c>
      <c r="H20" s="655">
        <f>G20*0.420906667</f>
        <v>0.841813334</v>
      </c>
      <c r="I20" s="656"/>
      <c r="J20" s="1275"/>
      <c r="M20" s="51"/>
    </row>
    <row r="21" spans="1:13" ht="15" customHeight="1">
      <c r="A21" s="1392">
        <f t="shared" si="0"/>
        <v>6</v>
      </c>
      <c r="B21" s="53" t="s">
        <v>13</v>
      </c>
      <c r="C21" s="657"/>
      <c r="D21" s="659"/>
      <c r="E21" s="656"/>
      <c r="F21" s="654"/>
      <c r="G21" s="1394"/>
      <c r="H21" s="655"/>
      <c r="I21" s="656">
        <v>2</v>
      </c>
      <c r="J21" s="1828">
        <v>22.1</v>
      </c>
      <c r="M21" s="51"/>
    </row>
    <row r="22" spans="1:13" ht="15" customHeight="1">
      <c r="A22" s="1392">
        <f t="shared" si="0"/>
        <v>7</v>
      </c>
      <c r="B22" s="53" t="s">
        <v>101</v>
      </c>
      <c r="C22" s="657"/>
      <c r="D22" s="659"/>
      <c r="E22" s="656"/>
      <c r="F22" s="658"/>
      <c r="G22" s="791"/>
      <c r="H22" s="655"/>
      <c r="I22" s="656">
        <v>2</v>
      </c>
      <c r="J22" s="654">
        <v>22.1</v>
      </c>
      <c r="M22" s="51"/>
    </row>
    <row r="23" spans="1:10" ht="15" customHeight="1">
      <c r="A23" s="1392">
        <f t="shared" si="0"/>
        <v>8</v>
      </c>
      <c r="B23" s="52" t="s">
        <v>700</v>
      </c>
      <c r="C23" s="657"/>
      <c r="D23" s="659"/>
      <c r="E23" s="656"/>
      <c r="F23" s="654"/>
      <c r="G23" s="791"/>
      <c r="H23" s="655"/>
      <c r="I23" s="656">
        <v>3</v>
      </c>
      <c r="J23" s="1829">
        <v>1.55496</v>
      </c>
    </row>
    <row r="24" spans="1:10" ht="15" customHeight="1">
      <c r="A24" s="1392">
        <f t="shared" si="0"/>
        <v>9</v>
      </c>
      <c r="B24" s="52" t="s">
        <v>470</v>
      </c>
      <c r="C24" s="657"/>
      <c r="D24" s="659"/>
      <c r="E24" s="656"/>
      <c r="F24" s="658"/>
      <c r="G24" s="1394">
        <v>1</v>
      </c>
      <c r="H24" s="1268">
        <f>G24*0.420906667</f>
        <v>0.420906667</v>
      </c>
      <c r="I24" s="656"/>
      <c r="J24" s="654"/>
    </row>
    <row r="25" spans="1:11" ht="15" customHeight="1">
      <c r="A25" s="1392">
        <f t="shared" si="0"/>
        <v>10</v>
      </c>
      <c r="B25" s="779" t="s">
        <v>472</v>
      </c>
      <c r="C25" s="657"/>
      <c r="D25" s="659"/>
      <c r="E25" s="656"/>
      <c r="F25" s="658"/>
      <c r="G25" s="792">
        <v>1</v>
      </c>
      <c r="H25" s="1268">
        <v>0.420906667</v>
      </c>
      <c r="I25" s="783">
        <v>2</v>
      </c>
      <c r="J25" s="654">
        <v>22.1</v>
      </c>
      <c r="K25" s="1320"/>
    </row>
    <row r="26" spans="1:10" ht="15" customHeight="1">
      <c r="A26" s="1392">
        <f t="shared" si="0"/>
        <v>11</v>
      </c>
      <c r="B26" s="52" t="s">
        <v>566</v>
      </c>
      <c r="C26" s="657"/>
      <c r="D26" s="659"/>
      <c r="E26" s="656"/>
      <c r="F26" s="658"/>
      <c r="G26" s="792">
        <v>1</v>
      </c>
      <c r="H26" s="1268">
        <v>0.420906667</v>
      </c>
      <c r="I26" s="783">
        <v>1</v>
      </c>
      <c r="J26" s="654">
        <v>0.51832</v>
      </c>
    </row>
    <row r="27" spans="1:10" ht="15" customHeight="1">
      <c r="A27" s="1392">
        <f t="shared" si="0"/>
        <v>12</v>
      </c>
      <c r="B27" s="53" t="s">
        <v>695</v>
      </c>
      <c r="C27" s="657"/>
      <c r="D27" s="659"/>
      <c r="E27" s="656"/>
      <c r="F27" s="658"/>
      <c r="G27" s="1394">
        <v>1</v>
      </c>
      <c r="H27" s="1268">
        <f>G27*0.420906667</f>
        <v>0.420906667</v>
      </c>
      <c r="I27" s="656"/>
      <c r="J27" s="654"/>
    </row>
    <row r="28" spans="1:10" ht="15" customHeight="1">
      <c r="A28" s="1392">
        <f t="shared" si="0"/>
        <v>13</v>
      </c>
      <c r="B28" s="52" t="s">
        <v>457</v>
      </c>
      <c r="C28" s="657"/>
      <c r="D28" s="659"/>
      <c r="E28" s="1273">
        <v>40</v>
      </c>
      <c r="F28" s="654">
        <v>7.6000000000000005</v>
      </c>
      <c r="G28" s="791"/>
      <c r="H28" s="1395"/>
      <c r="I28" s="656"/>
      <c r="J28" s="654"/>
    </row>
    <row r="29" spans="1:10" ht="15" customHeight="1">
      <c r="A29" s="1392">
        <f t="shared" si="0"/>
        <v>14</v>
      </c>
      <c r="B29" s="52" t="s">
        <v>454</v>
      </c>
      <c r="C29" s="657"/>
      <c r="D29" s="659"/>
      <c r="E29" s="1273">
        <v>330</v>
      </c>
      <c r="F29" s="654">
        <v>62.7</v>
      </c>
      <c r="G29" s="791"/>
      <c r="H29" s="655"/>
      <c r="I29" s="656"/>
      <c r="J29" s="654"/>
    </row>
    <row r="30" spans="1:10" ht="15" customHeight="1">
      <c r="A30" s="1392">
        <f t="shared" si="0"/>
        <v>15</v>
      </c>
      <c r="B30" s="53" t="s">
        <v>440</v>
      </c>
      <c r="C30" s="657"/>
      <c r="D30" s="659"/>
      <c r="E30" s="1273">
        <v>92</v>
      </c>
      <c r="F30" s="654">
        <v>17.48</v>
      </c>
      <c r="G30" s="791"/>
      <c r="H30" s="655"/>
      <c r="I30" s="656"/>
      <c r="J30" s="654"/>
    </row>
    <row r="31" spans="1:10" ht="15" customHeight="1">
      <c r="A31" s="1392">
        <f t="shared" si="0"/>
        <v>16</v>
      </c>
      <c r="B31" s="53" t="s">
        <v>438</v>
      </c>
      <c r="C31" s="657"/>
      <c r="D31" s="659"/>
      <c r="E31" s="656"/>
      <c r="F31" s="658"/>
      <c r="G31" s="1394">
        <v>2</v>
      </c>
      <c r="H31" s="1268">
        <f>G31*0.420906667</f>
        <v>0.841813334</v>
      </c>
      <c r="I31" s="656"/>
      <c r="J31" s="654"/>
    </row>
    <row r="32" spans="1:10" ht="15" customHeight="1">
      <c r="A32" s="1392">
        <f t="shared" si="0"/>
        <v>17</v>
      </c>
      <c r="B32" s="52" t="s">
        <v>431</v>
      </c>
      <c r="C32" s="657"/>
      <c r="D32" s="659"/>
      <c r="E32" s="656"/>
      <c r="F32" s="653"/>
      <c r="G32" s="791"/>
      <c r="H32" s="1396"/>
      <c r="I32" s="656">
        <v>1</v>
      </c>
      <c r="J32" s="654">
        <v>0.51832</v>
      </c>
    </row>
    <row r="33" spans="1:10" ht="15" customHeight="1">
      <c r="A33" s="1392">
        <f t="shared" si="0"/>
        <v>18</v>
      </c>
      <c r="B33" s="53" t="s">
        <v>429</v>
      </c>
      <c r="C33" s="657"/>
      <c r="D33" s="659"/>
      <c r="E33" s="656"/>
      <c r="F33" s="658"/>
      <c r="G33" s="96">
        <v>2</v>
      </c>
      <c r="H33" s="1268">
        <f>G33*0.420906667</f>
        <v>0.841813334</v>
      </c>
      <c r="I33" s="656"/>
      <c r="J33" s="654"/>
    </row>
    <row r="34" spans="1:10" ht="15" customHeight="1">
      <c r="A34" s="1392">
        <f t="shared" si="0"/>
        <v>19</v>
      </c>
      <c r="B34" s="53" t="s">
        <v>683</v>
      </c>
      <c r="C34" s="657"/>
      <c r="D34" s="659"/>
      <c r="E34" s="656"/>
      <c r="F34" s="658"/>
      <c r="G34" s="96">
        <v>1</v>
      </c>
      <c r="H34" s="1268">
        <f>G34*0.420906667</f>
        <v>0.420906667</v>
      </c>
      <c r="I34" s="656"/>
      <c r="J34" s="654"/>
    </row>
    <row r="35" spans="1:10" ht="15" customHeight="1">
      <c r="A35" s="1392">
        <f t="shared" si="0"/>
        <v>20</v>
      </c>
      <c r="B35" s="52" t="s">
        <v>392</v>
      </c>
      <c r="C35" s="657"/>
      <c r="D35" s="659"/>
      <c r="E35" s="656"/>
      <c r="F35" s="654"/>
      <c r="G35" s="94">
        <v>1</v>
      </c>
      <c r="H35" s="1268">
        <f>G35*0.420906667</f>
        <v>0.420906667</v>
      </c>
      <c r="I35" s="656"/>
      <c r="J35" s="654"/>
    </row>
    <row r="36" spans="1:10" ht="15" customHeight="1">
      <c r="A36" s="1392">
        <f t="shared" si="0"/>
        <v>21</v>
      </c>
      <c r="B36" s="52" t="s">
        <v>48</v>
      </c>
      <c r="C36" s="657"/>
      <c r="D36" s="659"/>
      <c r="E36" s="656"/>
      <c r="F36" s="654"/>
      <c r="G36" s="94">
        <v>1</v>
      </c>
      <c r="H36" s="1268">
        <f>G36*0.420906667</f>
        <v>0.420906667</v>
      </c>
      <c r="I36" s="656">
        <v>4</v>
      </c>
      <c r="J36" s="654">
        <v>44.2</v>
      </c>
    </row>
    <row r="37" spans="1:10" ht="15" customHeight="1">
      <c r="A37" s="1392">
        <f t="shared" si="0"/>
        <v>22</v>
      </c>
      <c r="B37" s="52" t="s">
        <v>17</v>
      </c>
      <c r="C37" s="657"/>
      <c r="D37" s="659"/>
      <c r="E37" s="656"/>
      <c r="F37" s="658"/>
      <c r="G37" s="94">
        <v>1</v>
      </c>
      <c r="H37" s="1268">
        <f>G37*0.420906667</f>
        <v>0.420906667</v>
      </c>
      <c r="I37" s="656"/>
      <c r="J37" s="654"/>
    </row>
    <row r="38" spans="1:10" ht="15" customHeight="1">
      <c r="A38" s="1392">
        <f t="shared" si="0"/>
        <v>23</v>
      </c>
      <c r="B38" s="53" t="s">
        <v>446</v>
      </c>
      <c r="C38" s="657"/>
      <c r="D38" s="659"/>
      <c r="E38" s="656"/>
      <c r="F38" s="658"/>
      <c r="G38" s="657"/>
      <c r="H38" s="1396"/>
      <c r="I38" s="656">
        <v>3</v>
      </c>
      <c r="J38" s="654">
        <v>1.55496</v>
      </c>
    </row>
    <row r="39" spans="1:10" ht="15" customHeight="1">
      <c r="A39" s="1392">
        <f t="shared" si="0"/>
        <v>24</v>
      </c>
      <c r="B39" s="52" t="s">
        <v>451</v>
      </c>
      <c r="C39" s="657"/>
      <c r="D39" s="659"/>
      <c r="E39" s="656"/>
      <c r="F39" s="658"/>
      <c r="G39" s="657"/>
      <c r="H39" s="1268"/>
      <c r="I39" s="656">
        <v>5</v>
      </c>
      <c r="J39" s="654">
        <v>2.5916</v>
      </c>
    </row>
    <row r="40" spans="1:10" ht="15" customHeight="1">
      <c r="A40" s="1392">
        <f t="shared" si="0"/>
        <v>25</v>
      </c>
      <c r="B40" s="53" t="s">
        <v>641</v>
      </c>
      <c r="C40" s="657"/>
      <c r="D40" s="659"/>
      <c r="E40" s="656"/>
      <c r="F40" s="658"/>
      <c r="G40" s="657"/>
      <c r="H40" s="1268"/>
      <c r="I40" s="656">
        <v>1</v>
      </c>
      <c r="J40" s="654">
        <v>0.51832</v>
      </c>
    </row>
    <row r="41" spans="1:10" ht="15" customHeight="1">
      <c r="A41" s="1392">
        <f t="shared" si="0"/>
        <v>26</v>
      </c>
      <c r="B41" s="52" t="s">
        <v>642</v>
      </c>
      <c r="C41" s="657"/>
      <c r="D41" s="659"/>
      <c r="E41" s="656"/>
      <c r="F41" s="658"/>
      <c r="G41" s="657"/>
      <c r="H41" s="1396"/>
      <c r="I41" s="656">
        <v>1</v>
      </c>
      <c r="J41" s="654">
        <v>0.51832</v>
      </c>
    </row>
    <row r="42" spans="1:10" ht="15" customHeight="1">
      <c r="A42" s="1392">
        <f t="shared" si="0"/>
        <v>27</v>
      </c>
      <c r="B42" s="52" t="s">
        <v>453</v>
      </c>
      <c r="C42" s="657"/>
      <c r="D42" s="659"/>
      <c r="E42" s="656"/>
      <c r="F42" s="658"/>
      <c r="G42" s="657"/>
      <c r="H42" s="1396"/>
      <c r="I42" s="656">
        <v>2</v>
      </c>
      <c r="J42" s="654">
        <v>1.03664</v>
      </c>
    </row>
    <row r="43" spans="1:10" ht="15" customHeight="1">
      <c r="A43" s="1392">
        <f t="shared" si="0"/>
        <v>28</v>
      </c>
      <c r="B43" s="53" t="s">
        <v>481</v>
      </c>
      <c r="C43" s="657"/>
      <c r="D43" s="659"/>
      <c r="E43" s="1273">
        <v>6</v>
      </c>
      <c r="F43" s="654">
        <v>1.1400000000000001</v>
      </c>
      <c r="G43" s="657"/>
      <c r="H43" s="1268"/>
      <c r="I43" s="656"/>
      <c r="J43" s="654"/>
    </row>
    <row r="44" spans="1:10" ht="15" customHeight="1">
      <c r="A44" s="1392">
        <f t="shared" si="0"/>
        <v>29</v>
      </c>
      <c r="B44" s="52" t="s">
        <v>677</v>
      </c>
      <c r="C44" s="657"/>
      <c r="D44" s="659"/>
      <c r="E44" s="656"/>
      <c r="F44" s="658"/>
      <c r="G44" s="657"/>
      <c r="H44" s="1396"/>
      <c r="I44" s="656">
        <v>1</v>
      </c>
      <c r="J44" s="654">
        <v>0.51832</v>
      </c>
    </row>
    <row r="45" spans="1:10" ht="15" customHeight="1">
      <c r="A45" s="1392">
        <f t="shared" si="0"/>
        <v>30</v>
      </c>
      <c r="B45" s="52" t="s">
        <v>665</v>
      </c>
      <c r="C45" s="657"/>
      <c r="D45" s="659"/>
      <c r="E45" s="656"/>
      <c r="F45" s="658"/>
      <c r="G45" s="94">
        <v>2</v>
      </c>
      <c r="H45" s="1268">
        <f>G45*0.420906667</f>
        <v>0.841813334</v>
      </c>
      <c r="I45" s="656"/>
      <c r="J45" s="654"/>
    </row>
    <row r="46" spans="1:10" ht="15" customHeight="1">
      <c r="A46" s="1392">
        <f t="shared" si="0"/>
        <v>31</v>
      </c>
      <c r="B46" s="52" t="s">
        <v>732</v>
      </c>
      <c r="C46" s="780"/>
      <c r="D46" s="781"/>
      <c r="E46" s="782"/>
      <c r="F46" s="793"/>
      <c r="G46" s="94">
        <v>1</v>
      </c>
      <c r="H46" s="1268">
        <f>G46*0.420906667</f>
        <v>0.420906667</v>
      </c>
      <c r="I46" s="656"/>
      <c r="J46" s="654"/>
    </row>
    <row r="47" spans="1:10" ht="15" customHeight="1">
      <c r="A47" s="1392">
        <f t="shared" si="0"/>
        <v>32</v>
      </c>
      <c r="B47" s="52" t="s">
        <v>728</v>
      </c>
      <c r="C47" s="657"/>
      <c r="D47" s="659"/>
      <c r="E47" s="656"/>
      <c r="F47" s="658"/>
      <c r="G47" s="94">
        <v>1</v>
      </c>
      <c r="H47" s="1268">
        <f>G47*0.420906667</f>
        <v>0.420906667</v>
      </c>
      <c r="I47" s="782"/>
      <c r="J47" s="654"/>
    </row>
    <row r="48" spans="1:10" ht="15" customHeight="1">
      <c r="A48" s="1392">
        <f t="shared" si="0"/>
        <v>33</v>
      </c>
      <c r="B48" s="52" t="s">
        <v>643</v>
      </c>
      <c r="C48" s="657"/>
      <c r="D48" s="659"/>
      <c r="E48" s="656"/>
      <c r="F48" s="658"/>
      <c r="G48" s="94">
        <v>1</v>
      </c>
      <c r="H48" s="1268">
        <f>G48*0.420906667</f>
        <v>0.420906667</v>
      </c>
      <c r="I48" s="656"/>
      <c r="J48" s="654"/>
    </row>
    <row r="49" spans="1:10" ht="15" customHeight="1">
      <c r="A49" s="1392">
        <f t="shared" si="0"/>
        <v>34</v>
      </c>
      <c r="B49" s="52" t="s">
        <v>468</v>
      </c>
      <c r="C49" s="657"/>
      <c r="D49" s="659"/>
      <c r="E49" s="656"/>
      <c r="F49" s="658"/>
      <c r="G49" s="657"/>
      <c r="H49" s="1396"/>
      <c r="I49" s="656">
        <v>1</v>
      </c>
      <c r="J49" s="654">
        <v>11.05</v>
      </c>
    </row>
    <row r="50" spans="1:10" ht="15" customHeight="1">
      <c r="A50" s="1392">
        <f t="shared" si="0"/>
        <v>35</v>
      </c>
      <c r="B50" s="53" t="s">
        <v>102</v>
      </c>
      <c r="C50" s="657"/>
      <c r="D50" s="659"/>
      <c r="E50" s="656"/>
      <c r="F50" s="658"/>
      <c r="G50" s="657"/>
      <c r="H50" s="1396"/>
      <c r="I50" s="656">
        <v>5</v>
      </c>
      <c r="J50" s="654">
        <v>55.25</v>
      </c>
    </row>
    <row r="51" spans="1:11" ht="15" customHeight="1">
      <c r="A51" s="1392">
        <f t="shared" si="0"/>
        <v>36</v>
      </c>
      <c r="B51" s="53" t="s">
        <v>19</v>
      </c>
      <c r="C51" s="657"/>
      <c r="D51" s="659"/>
      <c r="E51" s="1272"/>
      <c r="F51" s="658"/>
      <c r="G51" s="1397">
        <v>2</v>
      </c>
      <c r="H51" s="1268">
        <f>G51*0.420906667</f>
        <v>0.841813334</v>
      </c>
      <c r="I51" s="656"/>
      <c r="J51" s="654"/>
      <c r="K51" s="51"/>
    </row>
    <row r="52" spans="1:10" ht="15" customHeight="1" thickBot="1">
      <c r="A52" s="1392">
        <f t="shared" si="0"/>
        <v>37</v>
      </c>
      <c r="B52" s="53" t="s">
        <v>459</v>
      </c>
      <c r="C52" s="657"/>
      <c r="D52" s="659"/>
      <c r="E52" s="1274"/>
      <c r="F52" s="658"/>
      <c r="G52" s="791"/>
      <c r="H52" s="1269"/>
      <c r="I52" s="656">
        <v>1</v>
      </c>
      <c r="J52" s="654">
        <v>22.1</v>
      </c>
    </row>
    <row r="53" spans="1:10" ht="13.5" thickBot="1">
      <c r="A53" s="1398"/>
      <c r="B53" s="680" t="s">
        <v>51</v>
      </c>
      <c r="C53" s="784">
        <f aca="true" t="shared" si="1" ref="C53:J53">SUM(C16:C52)</f>
        <v>0</v>
      </c>
      <c r="D53" s="785">
        <f t="shared" si="1"/>
        <v>0</v>
      </c>
      <c r="E53" s="786">
        <f t="shared" si="1"/>
        <v>588</v>
      </c>
      <c r="F53" s="787">
        <f t="shared" si="1"/>
        <v>111.72000000000001</v>
      </c>
      <c r="G53" s="786">
        <f t="shared" si="1"/>
        <v>24</v>
      </c>
      <c r="H53" s="787">
        <f t="shared" si="1"/>
        <v>10.101760008000001</v>
      </c>
      <c r="I53" s="786">
        <f t="shared" si="1"/>
        <v>39</v>
      </c>
      <c r="J53" s="788">
        <f t="shared" si="1"/>
        <v>210.30304</v>
      </c>
    </row>
    <row r="54" spans="1:10" ht="13.5" thickBot="1">
      <c r="A54" s="1399"/>
      <c r="B54" s="1284" t="s">
        <v>260</v>
      </c>
      <c r="C54" s="1285">
        <f>D53+F53+H53+J53</f>
        <v>332.124800008</v>
      </c>
      <c r="D54" s="1285"/>
      <c r="E54" s="1285"/>
      <c r="F54" s="1285"/>
      <c r="G54" s="1285"/>
      <c r="H54" s="1285"/>
      <c r="I54" s="1285"/>
      <c r="J54" s="1830"/>
    </row>
    <row r="55" spans="1:2" ht="12.75">
      <c r="A55" s="1400"/>
      <c r="B55" s="112"/>
    </row>
    <row r="56" spans="2:7" ht="15.75">
      <c r="B56" s="11" t="s">
        <v>31</v>
      </c>
      <c r="G56" s="3" t="s">
        <v>52</v>
      </c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autoFilter ref="A15:J54"/>
  <mergeCells count="15">
    <mergeCell ref="A12:A14"/>
    <mergeCell ref="B12:B14"/>
    <mergeCell ref="G13:G14"/>
    <mergeCell ref="H13:H14"/>
    <mergeCell ref="J13:J14"/>
    <mergeCell ref="C12:J12"/>
    <mergeCell ref="A10:J10"/>
    <mergeCell ref="I13:I14"/>
    <mergeCell ref="A7:J7"/>
    <mergeCell ref="A8:J8"/>
    <mergeCell ref="A9:J9"/>
    <mergeCell ref="C13:C14"/>
    <mergeCell ref="D13:D14"/>
    <mergeCell ref="E13:E14"/>
    <mergeCell ref="F13:F14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75390625" style="0" customWidth="1"/>
    <col min="2" max="2" width="25.00390625" style="0" customWidth="1"/>
    <col min="4" max="4" width="11.25390625" style="0" customWidth="1"/>
  </cols>
  <sheetData>
    <row r="1" spans="1:5" ht="12.75">
      <c r="A1" s="1608" t="s">
        <v>33</v>
      </c>
      <c r="B1" s="1608"/>
      <c r="C1" s="1608"/>
      <c r="D1" s="1608"/>
      <c r="E1" s="1608"/>
    </row>
    <row r="2" spans="1:5" ht="12.75">
      <c r="A2" s="1608" t="s">
        <v>34</v>
      </c>
      <c r="B2" s="1608"/>
      <c r="C2" s="1608"/>
      <c r="D2" s="1608"/>
      <c r="E2" s="1608"/>
    </row>
    <row r="3" spans="1:5" ht="12.75">
      <c r="A3" s="1608" t="s">
        <v>384</v>
      </c>
      <c r="B3" s="1608"/>
      <c r="C3" s="1608"/>
      <c r="D3" s="1608"/>
      <c r="E3" s="1608"/>
    </row>
    <row r="4" spans="1:5" ht="12.75">
      <c r="A4" s="1608" t="s">
        <v>35</v>
      </c>
      <c r="B4" s="1608"/>
      <c r="C4" s="1608"/>
      <c r="D4" s="1608"/>
      <c r="E4" s="1608"/>
    </row>
    <row r="5" ht="13.5" thickBot="1"/>
    <row r="6" spans="1:6" ht="12" customHeight="1" thickBot="1">
      <c r="A6" s="1604" t="s">
        <v>36</v>
      </c>
      <c r="B6" s="1606" t="s">
        <v>3</v>
      </c>
      <c r="C6" s="1609" t="s">
        <v>357</v>
      </c>
      <c r="D6" s="1610"/>
      <c r="E6" s="1610"/>
      <c r="F6" s="789"/>
    </row>
    <row r="7" spans="1:5" ht="36" customHeight="1" thickBot="1">
      <c r="A7" s="1605"/>
      <c r="B7" s="1607"/>
      <c r="C7" s="944" t="s">
        <v>352</v>
      </c>
      <c r="D7" s="945" t="s">
        <v>353</v>
      </c>
      <c r="E7" s="946" t="s">
        <v>38</v>
      </c>
    </row>
    <row r="8" spans="1:5" ht="9.75" customHeight="1" thickBot="1">
      <c r="A8" s="98"/>
      <c r="B8" s="675"/>
      <c r="C8" s="698"/>
      <c r="D8" s="704"/>
      <c r="E8" s="701"/>
    </row>
    <row r="9" spans="1:5" ht="12.75">
      <c r="A9" s="699">
        <v>1</v>
      </c>
      <c r="B9" s="700" t="s">
        <v>701</v>
      </c>
      <c r="C9" s="692">
        <v>1</v>
      </c>
      <c r="D9" s="1401">
        <f>C9*0.4209</f>
        <v>0.4209</v>
      </c>
      <c r="E9" s="702"/>
    </row>
    <row r="10" spans="1:5" ht="12.75">
      <c r="A10" s="699">
        <v>2</v>
      </c>
      <c r="B10" s="691" t="s">
        <v>702</v>
      </c>
      <c r="C10" s="692">
        <v>2</v>
      </c>
      <c r="D10" s="1401">
        <f>C10*0.4209</f>
        <v>0.8418</v>
      </c>
      <c r="E10" s="702"/>
    </row>
    <row r="11" spans="1:5" ht="12.75">
      <c r="A11" s="699">
        <f>A10+1</f>
        <v>3</v>
      </c>
      <c r="B11" s="691" t="s">
        <v>704</v>
      </c>
      <c r="C11" s="682">
        <v>2</v>
      </c>
      <c r="D11" s="1401">
        <f aca="true" t="shared" si="0" ref="D11:D26">C11*0.4209</f>
        <v>0.8418</v>
      </c>
      <c r="E11" s="703"/>
    </row>
    <row r="12" spans="1:5" ht="12.75">
      <c r="A12" s="699">
        <f aca="true" t="shared" si="1" ref="A12:A26">A11+1</f>
        <v>4</v>
      </c>
      <c r="B12" s="736" t="s">
        <v>470</v>
      </c>
      <c r="C12" s="682">
        <v>1</v>
      </c>
      <c r="D12" s="1401">
        <f t="shared" si="0"/>
        <v>0.4209</v>
      </c>
      <c r="E12" s="703"/>
    </row>
    <row r="13" spans="1:5" ht="12.75">
      <c r="A13" s="699">
        <f t="shared" si="1"/>
        <v>5</v>
      </c>
      <c r="B13" s="736" t="s">
        <v>472</v>
      </c>
      <c r="C13" s="682">
        <v>1</v>
      </c>
      <c r="D13" s="1401">
        <f t="shared" si="0"/>
        <v>0.4209</v>
      </c>
      <c r="E13" s="703"/>
    </row>
    <row r="14" spans="1:5" ht="12.75">
      <c r="A14" s="699">
        <f t="shared" si="1"/>
        <v>6</v>
      </c>
      <c r="B14" s="736" t="s">
        <v>566</v>
      </c>
      <c r="C14" s="682">
        <v>1</v>
      </c>
      <c r="D14" s="1401">
        <f t="shared" si="0"/>
        <v>0.4209</v>
      </c>
      <c r="E14" s="703"/>
    </row>
    <row r="15" spans="1:5" ht="12.75">
      <c r="A15" s="699">
        <f t="shared" si="1"/>
        <v>7</v>
      </c>
      <c r="B15" s="736" t="s">
        <v>695</v>
      </c>
      <c r="C15" s="682">
        <v>1</v>
      </c>
      <c r="D15" s="1401">
        <f t="shared" si="0"/>
        <v>0.4209</v>
      </c>
      <c r="E15" s="703"/>
    </row>
    <row r="16" spans="1:5" ht="12.75">
      <c r="A16" s="699">
        <f t="shared" si="1"/>
        <v>8</v>
      </c>
      <c r="B16" s="736" t="s">
        <v>438</v>
      </c>
      <c r="C16" s="682">
        <v>2</v>
      </c>
      <c r="D16" s="1401">
        <f t="shared" si="0"/>
        <v>0.8418</v>
      </c>
      <c r="E16" s="703"/>
    </row>
    <row r="17" spans="1:5" ht="12.75">
      <c r="A17" s="699">
        <f t="shared" si="1"/>
        <v>9</v>
      </c>
      <c r="B17" s="736" t="s">
        <v>429</v>
      </c>
      <c r="C17" s="682">
        <v>2</v>
      </c>
      <c r="D17" s="1401">
        <f t="shared" si="0"/>
        <v>0.8418</v>
      </c>
      <c r="E17" s="703"/>
    </row>
    <row r="18" spans="1:5" ht="12.75">
      <c r="A18" s="699">
        <f t="shared" si="1"/>
        <v>10</v>
      </c>
      <c r="B18" s="691" t="s">
        <v>683</v>
      </c>
      <c r="C18" s="682">
        <v>1</v>
      </c>
      <c r="D18" s="1401">
        <f t="shared" si="0"/>
        <v>0.4209</v>
      </c>
      <c r="E18" s="703"/>
    </row>
    <row r="19" spans="1:5" ht="12.75">
      <c r="A19" s="699">
        <f t="shared" si="1"/>
        <v>11</v>
      </c>
      <c r="B19" s="691" t="s">
        <v>392</v>
      </c>
      <c r="C19" s="682">
        <v>1</v>
      </c>
      <c r="D19" s="1401">
        <f t="shared" si="0"/>
        <v>0.4209</v>
      </c>
      <c r="E19" s="703"/>
    </row>
    <row r="20" spans="1:5" ht="12.75">
      <c r="A20" s="699">
        <f t="shared" si="1"/>
        <v>12</v>
      </c>
      <c r="B20" s="691" t="s">
        <v>48</v>
      </c>
      <c r="C20" s="682">
        <v>1</v>
      </c>
      <c r="D20" s="1401">
        <f t="shared" si="0"/>
        <v>0.4209</v>
      </c>
      <c r="E20" s="703"/>
    </row>
    <row r="21" spans="1:5" ht="12.75">
      <c r="A21" s="699">
        <f t="shared" si="1"/>
        <v>13</v>
      </c>
      <c r="B21" s="691" t="s">
        <v>17</v>
      </c>
      <c r="C21" s="682">
        <v>1</v>
      </c>
      <c r="D21" s="1401">
        <f t="shared" si="0"/>
        <v>0.4209</v>
      </c>
      <c r="E21" s="703"/>
    </row>
    <row r="22" spans="1:5" ht="12.75">
      <c r="A22" s="699">
        <f t="shared" si="1"/>
        <v>14</v>
      </c>
      <c r="B22" s="691" t="s">
        <v>665</v>
      </c>
      <c r="C22" s="682">
        <v>2</v>
      </c>
      <c r="D22" s="1401">
        <f t="shared" si="0"/>
        <v>0.8418</v>
      </c>
      <c r="E22" s="703"/>
    </row>
    <row r="23" spans="1:5" ht="12.75">
      <c r="A23" s="699">
        <f t="shared" si="1"/>
        <v>15</v>
      </c>
      <c r="B23" s="691" t="s">
        <v>732</v>
      </c>
      <c r="C23" s="682">
        <v>1</v>
      </c>
      <c r="D23" s="1401">
        <f t="shared" si="0"/>
        <v>0.4209</v>
      </c>
      <c r="E23" s="703"/>
    </row>
    <row r="24" spans="1:5" ht="12.75">
      <c r="A24" s="699">
        <f t="shared" si="1"/>
        <v>16</v>
      </c>
      <c r="B24" s="691" t="s">
        <v>728</v>
      </c>
      <c r="C24" s="682">
        <v>1</v>
      </c>
      <c r="D24" s="1401">
        <f t="shared" si="0"/>
        <v>0.4209</v>
      </c>
      <c r="E24" s="703"/>
    </row>
    <row r="25" spans="1:5" ht="12.75">
      <c r="A25" s="699">
        <f t="shared" si="1"/>
        <v>17</v>
      </c>
      <c r="B25" s="691" t="s">
        <v>643</v>
      </c>
      <c r="C25" s="682">
        <v>1</v>
      </c>
      <c r="D25" s="1401">
        <f t="shared" si="0"/>
        <v>0.4209</v>
      </c>
      <c r="E25" s="703"/>
    </row>
    <row r="26" spans="1:5" ht="13.5" thickBot="1">
      <c r="A26" s="699">
        <f t="shared" si="1"/>
        <v>18</v>
      </c>
      <c r="B26" s="691" t="s">
        <v>19</v>
      </c>
      <c r="C26" s="682">
        <v>2</v>
      </c>
      <c r="D26" s="1401">
        <f t="shared" si="0"/>
        <v>0.8418</v>
      </c>
      <c r="E26" s="703"/>
    </row>
    <row r="27" spans="1:5" ht="13.5" thickBot="1">
      <c r="A27" s="5"/>
      <c r="B27" s="675" t="s">
        <v>51</v>
      </c>
      <c r="C27" s="5">
        <f>SUM(C9:C26)</f>
        <v>24</v>
      </c>
      <c r="D27" s="705">
        <v>10.101599999999998</v>
      </c>
      <c r="E27" s="905"/>
    </row>
    <row r="29" spans="2:3" ht="12.75">
      <c r="B29" t="s">
        <v>31</v>
      </c>
      <c r="C29" t="s">
        <v>52</v>
      </c>
    </row>
  </sheetData>
  <sheetProtection/>
  <mergeCells count="7">
    <mergeCell ref="A6:A7"/>
    <mergeCell ref="B6:B7"/>
    <mergeCell ref="A1:E1"/>
    <mergeCell ref="A2:E2"/>
    <mergeCell ref="A3:E3"/>
    <mergeCell ref="A4:E4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72"/>
  <sheetViews>
    <sheetView workbookViewId="0" topLeftCell="A27">
      <selection activeCell="I17" sqref="I17"/>
    </sheetView>
  </sheetViews>
  <sheetFormatPr defaultColWidth="9.00390625" defaultRowHeight="12.75"/>
  <cols>
    <col min="1" max="1" width="5.00390625" style="6" customWidth="1"/>
    <col min="2" max="2" width="24.625" style="0" customWidth="1"/>
    <col min="3" max="3" width="8.00390625" style="0" customWidth="1"/>
    <col min="4" max="4" width="10.875" style="0" customWidth="1"/>
    <col min="5" max="5" width="18.00390625" style="6" customWidth="1"/>
  </cols>
  <sheetData>
    <row r="1" spans="3:5" ht="12.75">
      <c r="C1" s="8"/>
      <c r="D1" s="1611" t="s">
        <v>133</v>
      </c>
      <c r="E1" s="1611"/>
    </row>
    <row r="2" spans="3:5" ht="12.75">
      <c r="C2" s="685"/>
      <c r="D2" s="1611" t="s">
        <v>1</v>
      </c>
      <c r="E2" s="1611"/>
    </row>
    <row r="3" spans="3:5" ht="12.75">
      <c r="C3" s="685"/>
      <c r="D3" s="1611" t="s">
        <v>270</v>
      </c>
      <c r="E3" s="1611"/>
    </row>
    <row r="4" spans="3:5" ht="12.75">
      <c r="C4" s="8"/>
      <c r="D4" s="1611" t="s">
        <v>768</v>
      </c>
      <c r="E4" s="1611"/>
    </row>
    <row r="5" spans="3:4" ht="12.75">
      <c r="C5" s="8"/>
      <c r="D5" s="8"/>
    </row>
    <row r="6" spans="1:5" ht="12.75">
      <c r="A6" s="1608" t="s">
        <v>33</v>
      </c>
      <c r="B6" s="1608"/>
      <c r="C6" s="1608"/>
      <c r="D6" s="1608"/>
      <c r="E6" s="1608"/>
    </row>
    <row r="7" spans="1:5" ht="12.75">
      <c r="A7" s="1608" t="s">
        <v>34</v>
      </c>
      <c r="B7" s="1608"/>
      <c r="C7" s="1608"/>
      <c r="D7" s="1608"/>
      <c r="E7" s="1608"/>
    </row>
    <row r="8" spans="1:5" ht="12.75">
      <c r="A8" s="1608" t="s">
        <v>384</v>
      </c>
      <c r="B8" s="1608"/>
      <c r="C8" s="1608"/>
      <c r="D8" s="1608"/>
      <c r="E8" s="1608"/>
    </row>
    <row r="9" spans="1:5" ht="13.5" thickBot="1">
      <c r="A9" s="1608" t="s">
        <v>35</v>
      </c>
      <c r="B9" s="1608"/>
      <c r="C9" s="1608"/>
      <c r="D9" s="1608"/>
      <c r="E9" s="1608"/>
    </row>
    <row r="10" spans="1:5" ht="13.5" customHeight="1" thickBot="1">
      <c r="A10" s="1606" t="s">
        <v>36</v>
      </c>
      <c r="B10" s="1620" t="s">
        <v>3</v>
      </c>
      <c r="C10" s="1612" t="s">
        <v>41</v>
      </c>
      <c r="D10" s="1623"/>
      <c r="E10" s="1623"/>
    </row>
    <row r="11" spans="1:5" ht="12.75" customHeight="1">
      <c r="A11" s="1619"/>
      <c r="B11" s="1621"/>
      <c r="C11" s="1612" t="s">
        <v>352</v>
      </c>
      <c r="D11" s="1614" t="s">
        <v>353</v>
      </c>
      <c r="E11" s="1616" t="s">
        <v>38</v>
      </c>
    </row>
    <row r="12" spans="1:5" ht="48" customHeight="1" thickBot="1">
      <c r="A12" s="1607"/>
      <c r="B12" s="1622"/>
      <c r="C12" s="1613"/>
      <c r="D12" s="1615"/>
      <c r="E12" s="1617"/>
    </row>
    <row r="13" spans="1:5" ht="13.5" thickBot="1">
      <c r="A13" s="686"/>
      <c r="B13" s="674"/>
      <c r="C13" s="5"/>
      <c r="D13" s="5"/>
      <c r="E13" s="694"/>
    </row>
    <row r="14" spans="1:5" ht="12.75">
      <c r="A14" s="687">
        <v>1</v>
      </c>
      <c r="B14" s="88" t="s">
        <v>452</v>
      </c>
      <c r="C14" s="692">
        <v>4</v>
      </c>
      <c r="D14" s="697">
        <f>0.51832*C14</f>
        <v>2.07328</v>
      </c>
      <c r="E14" s="695" t="s">
        <v>447</v>
      </c>
    </row>
    <row r="15" spans="1:5" ht="12.75">
      <c r="A15" s="688">
        <f>A14+1</f>
        <v>2</v>
      </c>
      <c r="B15" s="960" t="s">
        <v>12</v>
      </c>
      <c r="C15" s="961">
        <v>1</v>
      </c>
      <c r="D15" s="962">
        <f>2.61*C15</f>
        <v>2.61</v>
      </c>
      <c r="E15" s="963" t="s">
        <v>335</v>
      </c>
    </row>
    <row r="16" spans="1:5" ht="12.75">
      <c r="A16" s="688">
        <f aca="true" t="shared" si="0" ref="A16:A36">A15+1</f>
        <v>3</v>
      </c>
      <c r="B16" s="965" t="s">
        <v>13</v>
      </c>
      <c r="C16" s="966">
        <v>2</v>
      </c>
      <c r="D16" s="962">
        <v>6.25664</v>
      </c>
      <c r="E16" s="963" t="s">
        <v>422</v>
      </c>
    </row>
    <row r="17" spans="1:5" ht="12.75">
      <c r="A17" s="688">
        <f t="shared" si="0"/>
        <v>4</v>
      </c>
      <c r="B17" s="895" t="s">
        <v>101</v>
      </c>
      <c r="C17" s="896">
        <v>24</v>
      </c>
      <c r="D17" s="697">
        <f>2.61*C17</f>
        <v>62.64</v>
      </c>
      <c r="E17" s="696" t="s">
        <v>651</v>
      </c>
    </row>
    <row r="18" spans="1:5" ht="12.75">
      <c r="A18" s="688">
        <f t="shared" si="0"/>
        <v>5</v>
      </c>
      <c r="B18" s="689" t="s">
        <v>700</v>
      </c>
      <c r="C18" s="682">
        <v>3</v>
      </c>
      <c r="D18" s="697">
        <f>0.51832*C18</f>
        <v>1.55496</v>
      </c>
      <c r="E18" s="696" t="s">
        <v>680</v>
      </c>
    </row>
    <row r="19" spans="1:5" ht="12.75">
      <c r="A19" s="688">
        <f t="shared" si="0"/>
        <v>6</v>
      </c>
      <c r="B19" s="689" t="s">
        <v>472</v>
      </c>
      <c r="C19" s="682">
        <v>2</v>
      </c>
      <c r="D19" s="697">
        <f>22.1*C19</f>
        <v>44.2</v>
      </c>
      <c r="E19" s="696" t="s">
        <v>755</v>
      </c>
    </row>
    <row r="20" spans="1:5" ht="12.75">
      <c r="A20" s="688">
        <f t="shared" si="0"/>
        <v>7</v>
      </c>
      <c r="B20" s="689" t="s">
        <v>566</v>
      </c>
      <c r="C20" s="682">
        <v>1</v>
      </c>
      <c r="D20" s="697">
        <f>0.51832*C20</f>
        <v>0.51832</v>
      </c>
      <c r="E20" s="696" t="s">
        <v>680</v>
      </c>
    </row>
    <row r="21" spans="1:5" ht="12.75">
      <c r="A21" s="688">
        <f t="shared" si="0"/>
        <v>8</v>
      </c>
      <c r="B21" s="689" t="s">
        <v>431</v>
      </c>
      <c r="C21" s="682">
        <v>1</v>
      </c>
      <c r="D21" s="697">
        <f>0.51832*C21</f>
        <v>0.51832</v>
      </c>
      <c r="E21" s="696" t="s">
        <v>432</v>
      </c>
    </row>
    <row r="22" spans="1:5" ht="12.75">
      <c r="A22" s="688">
        <f t="shared" si="0"/>
        <v>9</v>
      </c>
      <c r="B22" s="960" t="s">
        <v>421</v>
      </c>
      <c r="C22" s="961">
        <v>2</v>
      </c>
      <c r="D22" s="962">
        <f>2.61*C22</f>
        <v>5.22</v>
      </c>
      <c r="E22" s="963" t="s">
        <v>422</v>
      </c>
    </row>
    <row r="23" spans="1:5" ht="12.75">
      <c r="A23" s="688">
        <f t="shared" si="0"/>
        <v>10</v>
      </c>
      <c r="B23" s="689" t="s">
        <v>692</v>
      </c>
      <c r="C23" s="682">
        <v>1</v>
      </c>
      <c r="D23" s="697">
        <f>0.51832*C23</f>
        <v>0.51832</v>
      </c>
      <c r="E23" s="696" t="s">
        <v>680</v>
      </c>
    </row>
    <row r="24" spans="1:5" ht="12.75">
      <c r="A24" s="688">
        <f t="shared" si="0"/>
        <v>11</v>
      </c>
      <c r="B24" s="960" t="s">
        <v>634</v>
      </c>
      <c r="C24" s="961">
        <v>2</v>
      </c>
      <c r="D24" s="962">
        <v>5.22</v>
      </c>
      <c r="E24" s="963" t="s">
        <v>335</v>
      </c>
    </row>
    <row r="25" spans="1:5" ht="12.75">
      <c r="A25" s="688">
        <f t="shared" si="0"/>
        <v>12</v>
      </c>
      <c r="B25" s="960" t="s">
        <v>392</v>
      </c>
      <c r="C25" s="961">
        <v>2</v>
      </c>
      <c r="D25" s="962">
        <f>2.61*C25</f>
        <v>5.22</v>
      </c>
      <c r="E25" s="964" t="s">
        <v>335</v>
      </c>
    </row>
    <row r="26" spans="1:5" ht="12.75">
      <c r="A26" s="688">
        <f t="shared" si="0"/>
        <v>13</v>
      </c>
      <c r="B26" s="689" t="s">
        <v>446</v>
      </c>
      <c r="C26" s="682">
        <v>3</v>
      </c>
      <c r="D26" s="697">
        <f aca="true" t="shared" si="1" ref="D26:D31">0.51832*C26</f>
        <v>1.55496</v>
      </c>
      <c r="E26" s="696" t="s">
        <v>447</v>
      </c>
    </row>
    <row r="27" spans="1:5" ht="12.75">
      <c r="A27" s="688">
        <f t="shared" si="0"/>
        <v>14</v>
      </c>
      <c r="B27" s="689" t="s">
        <v>451</v>
      </c>
      <c r="C27" s="682">
        <v>5</v>
      </c>
      <c r="D27" s="697">
        <f t="shared" si="1"/>
        <v>2.5916</v>
      </c>
      <c r="E27" s="696" t="s">
        <v>447</v>
      </c>
    </row>
    <row r="28" spans="1:5" ht="12.75">
      <c r="A28" s="688">
        <f t="shared" si="0"/>
        <v>15</v>
      </c>
      <c r="B28" s="689" t="s">
        <v>641</v>
      </c>
      <c r="C28" s="682">
        <v>1</v>
      </c>
      <c r="D28" s="697">
        <f t="shared" si="1"/>
        <v>0.51832</v>
      </c>
      <c r="E28" s="696" t="s">
        <v>680</v>
      </c>
    </row>
    <row r="29" spans="1:5" ht="12.75">
      <c r="A29" s="688">
        <f t="shared" si="0"/>
        <v>16</v>
      </c>
      <c r="B29" s="689" t="s">
        <v>642</v>
      </c>
      <c r="C29" s="682">
        <v>1</v>
      </c>
      <c r="D29" s="697">
        <f t="shared" si="1"/>
        <v>0.51832</v>
      </c>
      <c r="E29" s="696" t="s">
        <v>680</v>
      </c>
    </row>
    <row r="30" spans="1:5" ht="12.75">
      <c r="A30" s="776">
        <f t="shared" si="0"/>
        <v>17</v>
      </c>
      <c r="B30" s="689" t="s">
        <v>453</v>
      </c>
      <c r="C30" s="682">
        <v>2</v>
      </c>
      <c r="D30" s="697">
        <f t="shared" si="1"/>
        <v>1.03664</v>
      </c>
      <c r="E30" s="696" t="s">
        <v>447</v>
      </c>
    </row>
    <row r="31" spans="1:5" ht="12.75">
      <c r="A31" s="688">
        <f t="shared" si="0"/>
        <v>18</v>
      </c>
      <c r="B31" s="689" t="s">
        <v>677</v>
      </c>
      <c r="C31" s="682">
        <v>1</v>
      </c>
      <c r="D31" s="697">
        <f t="shared" si="1"/>
        <v>0.51832</v>
      </c>
      <c r="E31" s="696" t="s">
        <v>680</v>
      </c>
    </row>
    <row r="32" spans="1:5" ht="12.75">
      <c r="A32" s="688">
        <f t="shared" si="0"/>
        <v>19</v>
      </c>
      <c r="B32" s="689" t="s">
        <v>468</v>
      </c>
      <c r="C32" s="682">
        <v>1</v>
      </c>
      <c r="D32" s="697">
        <f>22.1*C32</f>
        <v>22.1</v>
      </c>
      <c r="E32" s="696" t="s">
        <v>422</v>
      </c>
    </row>
    <row r="33" spans="1:5" ht="12.75">
      <c r="A33" s="688">
        <f t="shared" si="0"/>
        <v>20</v>
      </c>
      <c r="B33" s="689" t="s">
        <v>427</v>
      </c>
      <c r="C33" s="682">
        <v>1</v>
      </c>
      <c r="D33" s="697">
        <f>2.61*C33</f>
        <v>2.61</v>
      </c>
      <c r="E33" s="696" t="s">
        <v>335</v>
      </c>
    </row>
    <row r="34" spans="1:5" ht="12.75">
      <c r="A34" s="688">
        <f t="shared" si="0"/>
        <v>21</v>
      </c>
      <c r="B34" s="689" t="s">
        <v>102</v>
      </c>
      <c r="C34" s="682">
        <v>5</v>
      </c>
      <c r="D34" s="697">
        <f>22.1*C34</f>
        <v>110.5</v>
      </c>
      <c r="E34" s="696" t="s">
        <v>397</v>
      </c>
    </row>
    <row r="35" spans="1:5" ht="12.75">
      <c r="A35" s="688">
        <f t="shared" si="0"/>
        <v>22</v>
      </c>
      <c r="B35" s="960" t="s">
        <v>19</v>
      </c>
      <c r="C35" s="961">
        <v>1</v>
      </c>
      <c r="D35" s="962">
        <f>2.61*C35</f>
        <v>2.61</v>
      </c>
      <c r="E35" s="963" t="s">
        <v>335</v>
      </c>
    </row>
    <row r="36" spans="1:5" ht="13.5" thickBot="1">
      <c r="A36" s="688">
        <f t="shared" si="0"/>
        <v>23</v>
      </c>
      <c r="B36" s="689" t="s">
        <v>459</v>
      </c>
      <c r="C36" s="682">
        <v>1</v>
      </c>
      <c r="D36" s="697">
        <f>22.1*C36</f>
        <v>22.1</v>
      </c>
      <c r="E36" s="696" t="s">
        <v>397</v>
      </c>
    </row>
    <row r="37" spans="1:5" ht="13.5" thickBot="1">
      <c r="A37" s="686"/>
      <c r="B37" s="690" t="s">
        <v>51</v>
      </c>
      <c r="C37" s="693">
        <f>SUM(C14:C36)</f>
        <v>67</v>
      </c>
      <c r="D37" s="777">
        <f>SUM(D14:D36)</f>
        <v>303.208</v>
      </c>
      <c r="E37" s="694"/>
    </row>
    <row r="39" spans="2:5" ht="12.75">
      <c r="B39" t="s">
        <v>31</v>
      </c>
      <c r="E39" s="6" t="s">
        <v>356</v>
      </c>
    </row>
    <row r="40" ht="12.75" hidden="1"/>
    <row r="41" ht="12.75" hidden="1"/>
    <row r="42" ht="12.75" hidden="1">
      <c r="C42" t="s">
        <v>337</v>
      </c>
    </row>
    <row r="43" spans="2:4" ht="12.75" customHeight="1" hidden="1">
      <c r="B43" s="1618" t="s">
        <v>336</v>
      </c>
      <c r="C43" s="108">
        <v>0.51832</v>
      </c>
      <c r="D43" s="108" t="s">
        <v>354</v>
      </c>
    </row>
    <row r="44" spans="2:4" ht="12.75" customHeight="1" hidden="1">
      <c r="B44" s="1618"/>
      <c r="C44" s="108">
        <v>7</v>
      </c>
      <c r="D44" s="108" t="s">
        <v>355</v>
      </c>
    </row>
    <row r="45" spans="2:4" ht="12.75" hidden="1">
      <c r="B45" s="1618"/>
      <c r="C45" s="108">
        <v>22.1</v>
      </c>
      <c r="D45" s="108" t="s">
        <v>334</v>
      </c>
    </row>
    <row r="46" spans="2:4" ht="12.75" hidden="1">
      <c r="B46" s="1618"/>
      <c r="C46" s="108">
        <v>2.61</v>
      </c>
      <c r="D46" s="108" t="s">
        <v>335</v>
      </c>
    </row>
    <row r="47" ht="12.75" hidden="1"/>
    <row r="48" ht="12.75" hidden="1"/>
    <row r="49" spans="2:5" ht="12.75">
      <c r="B49" s="141" t="s">
        <v>368</v>
      </c>
      <c r="C49" s="141"/>
      <c r="D49" s="141"/>
      <c r="E49" s="762"/>
    </row>
    <row r="50" ht="13.5" thickBot="1">
      <c r="B50" s="141" t="s">
        <v>367</v>
      </c>
    </row>
    <row r="51" spans="1:5" ht="12.75">
      <c r="A51" s="769">
        <f>A50+1</f>
        <v>1</v>
      </c>
      <c r="B51" s="772" t="s">
        <v>421</v>
      </c>
      <c r="C51" s="770">
        <v>2</v>
      </c>
      <c r="D51" s="767">
        <f>0.51832*C51</f>
        <v>1.03664</v>
      </c>
      <c r="E51" s="766" t="s">
        <v>397</v>
      </c>
    </row>
    <row r="52" spans="1:5" ht="13.5" thickBot="1">
      <c r="A52" s="769">
        <f>A51+1</f>
        <v>2</v>
      </c>
      <c r="B52" s="691" t="s">
        <v>102</v>
      </c>
      <c r="C52" s="682">
        <v>5</v>
      </c>
      <c r="D52" s="697">
        <f>0.51832*C52</f>
        <v>2.5916</v>
      </c>
      <c r="E52" s="696" t="s">
        <v>397</v>
      </c>
    </row>
    <row r="53" spans="1:5" ht="13.5" thickBot="1">
      <c r="A53" s="98"/>
      <c r="B53" s="675"/>
      <c r="C53" s="773">
        <f>SUBTOTAL(9,C51:C52)</f>
        <v>7</v>
      </c>
      <c r="D53" s="774">
        <f>SUBTOTAL(9,D51:D52)</f>
        <v>3.62824</v>
      </c>
      <c r="E53" s="686"/>
    </row>
    <row r="55" spans="2:4" ht="13.5" thickBot="1">
      <c r="B55" s="141" t="s">
        <v>310</v>
      </c>
      <c r="C55" s="141"/>
      <c r="D55" s="141"/>
    </row>
    <row r="56" spans="1:5" ht="12.75">
      <c r="A56" s="768">
        <v>1</v>
      </c>
      <c r="B56" s="772" t="s">
        <v>12</v>
      </c>
      <c r="C56" s="770">
        <v>1</v>
      </c>
      <c r="D56" s="767">
        <f>2.61*C56</f>
        <v>2.61</v>
      </c>
      <c r="E56" s="766" t="s">
        <v>335</v>
      </c>
    </row>
    <row r="57" spans="1:5" ht="12.75">
      <c r="A57" s="769">
        <f>A56+1</f>
        <v>2</v>
      </c>
      <c r="B57" s="691" t="s">
        <v>13</v>
      </c>
      <c r="C57" s="771">
        <v>2</v>
      </c>
      <c r="D57" s="697">
        <v>6.25664</v>
      </c>
      <c r="E57" s="688" t="s">
        <v>335</v>
      </c>
    </row>
    <row r="58" spans="1:5" ht="12.75">
      <c r="A58" s="769">
        <f>A57+1</f>
        <v>3</v>
      </c>
      <c r="B58" s="691" t="s">
        <v>421</v>
      </c>
      <c r="C58" s="771">
        <v>2</v>
      </c>
      <c r="D58" s="697">
        <f>2.61*C58</f>
        <v>5.22</v>
      </c>
      <c r="E58" s="688" t="s">
        <v>423</v>
      </c>
    </row>
    <row r="59" spans="1:5" ht="12.75">
      <c r="A59" s="769">
        <f>A58+1</f>
        <v>4</v>
      </c>
      <c r="B59" s="691" t="s">
        <v>392</v>
      </c>
      <c r="C59" s="771">
        <v>2</v>
      </c>
      <c r="D59" s="697">
        <f>2.61*C59</f>
        <v>5.22</v>
      </c>
      <c r="E59" s="688" t="s">
        <v>335</v>
      </c>
    </row>
    <row r="60" spans="1:5" ht="12.75">
      <c r="A60" s="769">
        <f>A59+1</f>
        <v>5</v>
      </c>
      <c r="B60" s="691" t="s">
        <v>634</v>
      </c>
      <c r="C60" s="771">
        <v>2</v>
      </c>
      <c r="D60" s="697">
        <f>2.61*C60</f>
        <v>5.22</v>
      </c>
      <c r="E60" s="688" t="s">
        <v>335</v>
      </c>
    </row>
    <row r="61" spans="1:5" ht="13.5" thickBot="1">
      <c r="A61" s="769">
        <f>A60+1</f>
        <v>6</v>
      </c>
      <c r="B61" s="691" t="s">
        <v>19</v>
      </c>
      <c r="C61" s="771">
        <v>1</v>
      </c>
      <c r="D61" s="697">
        <f>2.61*C61</f>
        <v>2.61</v>
      </c>
      <c r="E61" s="688" t="s">
        <v>335</v>
      </c>
    </row>
    <row r="62" spans="1:5" ht="13.5" thickBot="1">
      <c r="A62" s="98"/>
      <c r="B62" s="675"/>
      <c r="C62" s="773">
        <f>SUBTOTAL(9,C56:C61)</f>
        <v>10</v>
      </c>
      <c r="D62" s="775">
        <f>SUBTOTAL(9,D56:D61)</f>
        <v>27.136639999999996</v>
      </c>
      <c r="E62" s="686"/>
    </row>
    <row r="64" ht="13.5" thickBot="1">
      <c r="B64" s="141" t="s">
        <v>170</v>
      </c>
    </row>
    <row r="65" spans="1:5" ht="12.75">
      <c r="A65" s="768">
        <f aca="true" t="shared" si="2" ref="A65:A71">A64+1</f>
        <v>1</v>
      </c>
      <c r="B65" s="772" t="s">
        <v>622</v>
      </c>
      <c r="C65" s="770">
        <v>2</v>
      </c>
      <c r="D65" s="870">
        <f aca="true" t="shared" si="3" ref="D65:D71">C65*22.1</f>
        <v>44.2</v>
      </c>
      <c r="E65" s="766" t="s">
        <v>621</v>
      </c>
    </row>
    <row r="66" spans="1:5" ht="12.75">
      <c r="A66" s="769">
        <f t="shared" si="2"/>
        <v>2</v>
      </c>
      <c r="B66" s="691" t="s">
        <v>623</v>
      </c>
      <c r="C66" s="682">
        <v>2</v>
      </c>
      <c r="D66" s="697">
        <f t="shared" si="3"/>
        <v>44.2</v>
      </c>
      <c r="E66" s="688" t="s">
        <v>621</v>
      </c>
    </row>
    <row r="67" spans="1:5" ht="12.75">
      <c r="A67" s="769">
        <f t="shared" si="2"/>
        <v>3</v>
      </c>
      <c r="B67" s="691" t="s">
        <v>624</v>
      </c>
      <c r="C67" s="682">
        <v>1</v>
      </c>
      <c r="D67" s="697">
        <f t="shared" si="3"/>
        <v>22.1</v>
      </c>
      <c r="E67" s="688" t="s">
        <v>625</v>
      </c>
    </row>
    <row r="68" spans="1:5" ht="12.75">
      <c r="A68" s="769">
        <f t="shared" si="2"/>
        <v>4</v>
      </c>
      <c r="B68" s="691" t="s">
        <v>626</v>
      </c>
      <c r="C68" s="682">
        <v>2</v>
      </c>
      <c r="D68" s="697">
        <f t="shared" si="3"/>
        <v>44.2</v>
      </c>
      <c r="E68" s="688" t="s">
        <v>621</v>
      </c>
    </row>
    <row r="69" spans="1:5" ht="12.75">
      <c r="A69" s="769">
        <f t="shared" si="2"/>
        <v>5</v>
      </c>
      <c r="B69" s="691" t="s">
        <v>627</v>
      </c>
      <c r="C69" s="682">
        <v>2</v>
      </c>
      <c r="D69" s="697">
        <f t="shared" si="3"/>
        <v>44.2</v>
      </c>
      <c r="E69" s="688" t="s">
        <v>621</v>
      </c>
    </row>
    <row r="70" spans="1:5" ht="12.75">
      <c r="A70" s="769">
        <f t="shared" si="2"/>
        <v>6</v>
      </c>
      <c r="B70" s="691" t="s">
        <v>628</v>
      </c>
      <c r="C70" s="682">
        <v>1</v>
      </c>
      <c r="D70" s="697">
        <f t="shared" si="3"/>
        <v>22.1</v>
      </c>
      <c r="E70" s="688" t="s">
        <v>629</v>
      </c>
    </row>
    <row r="71" spans="1:5" ht="13.5" thickBot="1">
      <c r="A71" s="769">
        <f t="shared" si="2"/>
        <v>7</v>
      </c>
      <c r="B71" s="691" t="s">
        <v>619</v>
      </c>
      <c r="C71" s="682">
        <v>1</v>
      </c>
      <c r="D71" s="697">
        <f t="shared" si="3"/>
        <v>22.1</v>
      </c>
      <c r="E71" s="696" t="s">
        <v>620</v>
      </c>
    </row>
    <row r="72" spans="1:5" ht="13.5" thickBot="1">
      <c r="A72" s="98"/>
      <c r="B72" s="675"/>
      <c r="C72" s="773">
        <f>SUBTOTAL(9,C65:C71)</f>
        <v>11</v>
      </c>
      <c r="D72" s="774">
        <f>SUBTOTAL(9,D65:D71)</f>
        <v>243.09999999999997</v>
      </c>
      <c r="E72" s="686"/>
    </row>
  </sheetData>
  <sheetProtection/>
  <autoFilter ref="A13:E37"/>
  <mergeCells count="15">
    <mergeCell ref="D1:E1"/>
    <mergeCell ref="A6:E6"/>
    <mergeCell ref="A7:E7"/>
    <mergeCell ref="A8:E8"/>
    <mergeCell ref="A9:E9"/>
    <mergeCell ref="A10:A12"/>
    <mergeCell ref="B10:B12"/>
    <mergeCell ref="C10:E10"/>
    <mergeCell ref="D2:E2"/>
    <mergeCell ref="D3:E3"/>
    <mergeCell ref="D4:E4"/>
    <mergeCell ref="C11:C12"/>
    <mergeCell ref="D11:D12"/>
    <mergeCell ref="E11:E12"/>
    <mergeCell ref="B43:B46"/>
  </mergeCells>
  <printOptions/>
  <pageMargins left="0.5118110236220472" right="0.1968503937007874" top="0.5905511811023623" bottom="0.5905511811023623" header="0.31496062992125984" footer="0.31496062992125984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G57"/>
  <sheetViews>
    <sheetView workbookViewId="0" topLeftCell="A31">
      <selection activeCell="A63" sqref="A63"/>
    </sheetView>
  </sheetViews>
  <sheetFormatPr defaultColWidth="9.00390625" defaultRowHeight="12.75"/>
  <cols>
    <col min="2" max="2" width="4.125" style="16" customWidth="1"/>
    <col min="3" max="3" width="27.00390625" style="0" customWidth="1"/>
    <col min="4" max="4" width="66.125" style="0" customWidth="1"/>
    <col min="5" max="5" width="8.625" style="0" customWidth="1"/>
    <col min="6" max="6" width="9.125" style="0" customWidth="1"/>
    <col min="7" max="7" width="13.75390625" style="0" customWidth="1"/>
  </cols>
  <sheetData>
    <row r="1" spans="2:7" ht="15.75" customHeight="1" hidden="1">
      <c r="B1" s="34"/>
      <c r="C1" s="7"/>
      <c r="D1" s="7"/>
      <c r="E1" s="56"/>
      <c r="F1" s="56"/>
      <c r="G1" s="56"/>
    </row>
    <row r="2" spans="2:7" ht="30" customHeight="1" hidden="1">
      <c r="B2" s="34"/>
      <c r="C2" s="7"/>
      <c r="D2" s="7"/>
      <c r="E2" s="56"/>
      <c r="F2" s="56"/>
      <c r="G2" s="56"/>
    </row>
    <row r="3" spans="2:7" ht="25.5" customHeight="1" hidden="1">
      <c r="B3" s="34"/>
      <c r="C3" s="7"/>
      <c r="D3" s="7"/>
      <c r="E3" s="57"/>
      <c r="F3" s="57"/>
      <c r="G3" s="57"/>
    </row>
    <row r="4" spans="2:7" ht="16.5" customHeight="1">
      <c r="B4" s="34"/>
      <c r="C4" s="7"/>
      <c r="D4" s="7"/>
      <c r="E4" s="57"/>
      <c r="F4" s="57"/>
      <c r="G4" s="2" t="s">
        <v>832</v>
      </c>
    </row>
    <row r="5" spans="2:7" ht="16.5" customHeight="1">
      <c r="B5" s="34"/>
      <c r="C5" s="7"/>
      <c r="D5" s="7"/>
      <c r="E5" s="57"/>
      <c r="F5" s="57"/>
      <c r="G5" s="2" t="s">
        <v>53</v>
      </c>
    </row>
    <row r="6" spans="2:7" ht="16.5" customHeight="1">
      <c r="B6" s="34"/>
      <c r="C6" s="7"/>
      <c r="D6" s="7"/>
      <c r="E6" s="57"/>
      <c r="F6" s="57"/>
      <c r="G6" s="2" t="s">
        <v>35</v>
      </c>
    </row>
    <row r="7" spans="2:7" ht="16.5" customHeight="1">
      <c r="B7" s="34"/>
      <c r="C7" s="7"/>
      <c r="D7" s="7"/>
      <c r="E7" s="57"/>
      <c r="F7" s="57"/>
      <c r="G7" s="2" t="s">
        <v>758</v>
      </c>
    </row>
    <row r="8" spans="2:7" ht="9" customHeight="1">
      <c r="B8" s="34"/>
      <c r="C8" s="7"/>
      <c r="D8" s="7"/>
      <c r="E8" s="57"/>
      <c r="F8" s="57"/>
      <c r="G8" s="57"/>
    </row>
    <row r="9" spans="2:7" ht="16.5" customHeight="1">
      <c r="B9" s="1632" t="s">
        <v>769</v>
      </c>
      <c r="C9" s="1632"/>
      <c r="D9" s="1632"/>
      <c r="E9" s="1632"/>
      <c r="F9" s="1632"/>
      <c r="G9" s="1632"/>
    </row>
    <row r="10" spans="2:7" ht="19.5" customHeight="1" thickBot="1">
      <c r="B10" s="1633"/>
      <c r="C10" s="1633"/>
      <c r="D10" s="1633"/>
      <c r="E10" s="1633"/>
      <c r="F10" s="1633"/>
      <c r="G10" s="1633"/>
    </row>
    <row r="11" spans="2:7" ht="24.75" customHeight="1" thickBot="1">
      <c r="B11" s="1624" t="s">
        <v>2</v>
      </c>
      <c r="C11" s="1626" t="s">
        <v>3</v>
      </c>
      <c r="D11" s="1628" t="s">
        <v>239</v>
      </c>
      <c r="E11" s="1113" t="s">
        <v>103</v>
      </c>
      <c r="F11" s="1630" t="s">
        <v>103</v>
      </c>
      <c r="G11" s="1631"/>
    </row>
    <row r="12" spans="2:7" ht="15.75" customHeight="1" thickBot="1">
      <c r="B12" s="1625"/>
      <c r="C12" s="1627"/>
      <c r="D12" s="1629"/>
      <c r="E12" s="1114" t="s">
        <v>240</v>
      </c>
      <c r="F12" s="1118" t="s">
        <v>241</v>
      </c>
      <c r="G12" s="1106" t="s">
        <v>770</v>
      </c>
    </row>
    <row r="13" spans="2:7" ht="16.5" customHeight="1">
      <c r="B13" s="1115">
        <v>1</v>
      </c>
      <c r="C13" s="1097" t="s">
        <v>101</v>
      </c>
      <c r="D13" s="1090" t="s">
        <v>845</v>
      </c>
      <c r="E13" s="1098">
        <f>18+50+10</f>
        <v>78</v>
      </c>
      <c r="F13" s="1090">
        <f aca="true" t="shared" si="0" ref="F13:F21">E13/1000</f>
        <v>0.078</v>
      </c>
      <c r="G13" s="1090">
        <f aca="true" t="shared" si="1" ref="G13:G21">F13*485</f>
        <v>37.83</v>
      </c>
    </row>
    <row r="14" spans="2:7" ht="16.5" customHeight="1">
      <c r="B14" s="1116">
        <f>B13+1</f>
        <v>2</v>
      </c>
      <c r="C14" s="1099" t="s">
        <v>564</v>
      </c>
      <c r="D14" s="1302" t="s">
        <v>846</v>
      </c>
      <c r="E14" s="1100">
        <v>12</v>
      </c>
      <c r="F14" s="1091">
        <f t="shared" si="0"/>
        <v>0.012</v>
      </c>
      <c r="G14" s="1090">
        <f t="shared" si="1"/>
        <v>5.82</v>
      </c>
    </row>
    <row r="15" spans="2:7" ht="16.5" customHeight="1">
      <c r="B15" s="1116">
        <f>B14+1</f>
        <v>3</v>
      </c>
      <c r="C15" s="1101" t="s">
        <v>600</v>
      </c>
      <c r="D15" s="1093" t="s">
        <v>601</v>
      </c>
      <c r="E15" s="1102">
        <v>30</v>
      </c>
      <c r="F15" s="1091">
        <f t="shared" si="0"/>
        <v>0.03</v>
      </c>
      <c r="G15" s="1090">
        <f t="shared" si="1"/>
        <v>14.549999999999999</v>
      </c>
    </row>
    <row r="16" spans="2:7" ht="16.5" customHeight="1">
      <c r="B16" s="1116">
        <f aca="true" t="shared" si="2" ref="B16:B44">B15+1</f>
        <v>4</v>
      </c>
      <c r="C16" s="1101" t="s">
        <v>605</v>
      </c>
      <c r="D16" s="1090" t="s">
        <v>847</v>
      </c>
      <c r="E16" s="1102">
        <v>500</v>
      </c>
      <c r="F16" s="1091">
        <f t="shared" si="0"/>
        <v>0.5</v>
      </c>
      <c r="G16" s="1090">
        <f t="shared" si="1"/>
        <v>242.5</v>
      </c>
    </row>
    <row r="17" spans="2:7" ht="15.75" customHeight="1">
      <c r="B17" s="1116">
        <f t="shared" si="2"/>
        <v>5</v>
      </c>
      <c r="C17" s="1101" t="s">
        <v>608</v>
      </c>
      <c r="D17" s="1090" t="s">
        <v>848</v>
      </c>
      <c r="E17" s="1102">
        <v>300</v>
      </c>
      <c r="F17" s="1091">
        <f t="shared" si="0"/>
        <v>0.3</v>
      </c>
      <c r="G17" s="1090">
        <f t="shared" si="1"/>
        <v>145.5</v>
      </c>
    </row>
    <row r="18" spans="2:7" ht="16.5" customHeight="1">
      <c r="B18" s="1116">
        <f t="shared" si="2"/>
        <v>6</v>
      </c>
      <c r="C18" s="1101" t="s">
        <v>788</v>
      </c>
      <c r="D18" s="1090" t="s">
        <v>849</v>
      </c>
      <c r="E18" s="1102">
        <v>28</v>
      </c>
      <c r="F18" s="1091">
        <f t="shared" si="0"/>
        <v>0.028</v>
      </c>
      <c r="G18" s="1090">
        <f t="shared" si="1"/>
        <v>13.58</v>
      </c>
    </row>
    <row r="19" spans="2:7" ht="16.5" customHeight="1">
      <c r="B19" s="1116">
        <f t="shared" si="2"/>
        <v>7</v>
      </c>
      <c r="C19" s="1101" t="s">
        <v>610</v>
      </c>
      <c r="D19" s="1094" t="s">
        <v>855</v>
      </c>
      <c r="E19" s="1102">
        <v>200</v>
      </c>
      <c r="F19" s="1091">
        <f t="shared" si="0"/>
        <v>0.2</v>
      </c>
      <c r="G19" s="1090">
        <f t="shared" si="1"/>
        <v>97</v>
      </c>
    </row>
    <row r="20" spans="2:7" ht="18" customHeight="1">
      <c r="B20" s="1116">
        <f t="shared" si="2"/>
        <v>8</v>
      </c>
      <c r="C20" s="1101" t="s">
        <v>613</v>
      </c>
      <c r="D20" s="1092" t="s">
        <v>789</v>
      </c>
      <c r="E20" s="1102">
        <v>200</v>
      </c>
      <c r="F20" s="1091">
        <f t="shared" si="0"/>
        <v>0.2</v>
      </c>
      <c r="G20" s="1090">
        <f t="shared" si="1"/>
        <v>97</v>
      </c>
    </row>
    <row r="21" spans="2:7" ht="16.5" customHeight="1">
      <c r="B21" s="1116">
        <f t="shared" si="2"/>
        <v>9</v>
      </c>
      <c r="C21" s="1101" t="s">
        <v>549</v>
      </c>
      <c r="D21" s="1092" t="s">
        <v>850</v>
      </c>
      <c r="E21" s="1102">
        <v>9</v>
      </c>
      <c r="F21" s="1091">
        <f t="shared" si="0"/>
        <v>0.009</v>
      </c>
      <c r="G21" s="1090">
        <f t="shared" si="1"/>
        <v>4.364999999999999</v>
      </c>
    </row>
    <row r="22" spans="2:7" ht="16.5" customHeight="1">
      <c r="B22" s="1116">
        <f t="shared" si="2"/>
        <v>10</v>
      </c>
      <c r="C22" s="1101" t="s">
        <v>878</v>
      </c>
      <c r="D22" s="1092" t="s">
        <v>879</v>
      </c>
      <c r="E22" s="1102">
        <v>10</v>
      </c>
      <c r="F22" s="1091">
        <v>0.01</v>
      </c>
      <c r="G22" s="1090">
        <v>4.8500000000000005</v>
      </c>
    </row>
    <row r="23" spans="2:7" ht="16.5" customHeight="1">
      <c r="B23" s="1116">
        <f t="shared" si="2"/>
        <v>11</v>
      </c>
      <c r="C23" s="1101" t="s">
        <v>556</v>
      </c>
      <c r="D23" s="1092" t="s">
        <v>851</v>
      </c>
      <c r="E23" s="1102">
        <v>200</v>
      </c>
      <c r="F23" s="1091">
        <f aca="true" t="shared" si="3" ref="F23:F44">E23/1000</f>
        <v>0.2</v>
      </c>
      <c r="G23" s="1090">
        <f aca="true" t="shared" si="4" ref="G23:G44">F23*485</f>
        <v>97</v>
      </c>
    </row>
    <row r="24" spans="2:7" s="3" customFormat="1" ht="16.5" customHeight="1">
      <c r="B24" s="1116">
        <f t="shared" si="2"/>
        <v>12</v>
      </c>
      <c r="C24" s="1101" t="s">
        <v>804</v>
      </c>
      <c r="D24" s="1090" t="s">
        <v>806</v>
      </c>
      <c r="E24" s="1102">
        <v>90</v>
      </c>
      <c r="F24" s="1091">
        <f t="shared" si="3"/>
        <v>0.09</v>
      </c>
      <c r="G24" s="1090">
        <f t="shared" si="4"/>
        <v>43.65</v>
      </c>
    </row>
    <row r="25" spans="2:7" s="3" customFormat="1" ht="16.5" customHeight="1">
      <c r="B25" s="1116">
        <f t="shared" si="2"/>
        <v>13</v>
      </c>
      <c r="C25" s="1101" t="s">
        <v>799</v>
      </c>
      <c r="D25" s="1090" t="s">
        <v>800</v>
      </c>
      <c r="E25" s="1102">
        <v>30</v>
      </c>
      <c r="F25" s="1091">
        <f t="shared" si="3"/>
        <v>0.03</v>
      </c>
      <c r="G25" s="1090">
        <f t="shared" si="4"/>
        <v>14.549999999999999</v>
      </c>
    </row>
    <row r="26" spans="2:7" s="3" customFormat="1" ht="16.5" customHeight="1">
      <c r="B26" s="1116">
        <f t="shared" si="2"/>
        <v>14</v>
      </c>
      <c r="C26" s="1101" t="s">
        <v>853</v>
      </c>
      <c r="D26" s="1093" t="s">
        <v>856</v>
      </c>
      <c r="E26" s="1102">
        <v>375</v>
      </c>
      <c r="F26" s="1091">
        <f t="shared" si="3"/>
        <v>0.375</v>
      </c>
      <c r="G26" s="1090">
        <f t="shared" si="4"/>
        <v>181.875</v>
      </c>
    </row>
    <row r="27" spans="2:7" s="3" customFormat="1" ht="16.5" customHeight="1">
      <c r="B27" s="1116">
        <f t="shared" si="2"/>
        <v>15</v>
      </c>
      <c r="C27" s="1101" t="s">
        <v>790</v>
      </c>
      <c r="D27" s="1093" t="s">
        <v>791</v>
      </c>
      <c r="E27" s="1102">
        <v>31.5</v>
      </c>
      <c r="F27" s="1091">
        <f t="shared" si="3"/>
        <v>0.0315</v>
      </c>
      <c r="G27" s="1090">
        <f t="shared" si="4"/>
        <v>15.2775</v>
      </c>
    </row>
    <row r="28" spans="2:7" s="3" customFormat="1" ht="16.5" customHeight="1">
      <c r="B28" s="1116">
        <f t="shared" si="2"/>
        <v>16</v>
      </c>
      <c r="C28" s="1101" t="s">
        <v>792</v>
      </c>
      <c r="D28" s="1093" t="s">
        <v>852</v>
      </c>
      <c r="E28" s="1102">
        <v>10.5</v>
      </c>
      <c r="F28" s="1091">
        <f t="shared" si="3"/>
        <v>0.0105</v>
      </c>
      <c r="G28" s="1090">
        <f t="shared" si="4"/>
        <v>5.0925</v>
      </c>
    </row>
    <row r="29" spans="2:7" s="3" customFormat="1" ht="16.5" customHeight="1">
      <c r="B29" s="1116">
        <f t="shared" si="2"/>
        <v>17</v>
      </c>
      <c r="C29" s="1101" t="s">
        <v>780</v>
      </c>
      <c r="D29" s="1090" t="s">
        <v>795</v>
      </c>
      <c r="E29" s="1102">
        <v>30</v>
      </c>
      <c r="F29" s="1091">
        <f t="shared" si="3"/>
        <v>0.03</v>
      </c>
      <c r="G29" s="1090">
        <f t="shared" si="4"/>
        <v>14.549999999999999</v>
      </c>
    </row>
    <row r="30" spans="2:7" s="3" customFormat="1" ht="16.5" customHeight="1">
      <c r="B30" s="1116">
        <f t="shared" si="2"/>
        <v>18</v>
      </c>
      <c r="C30" s="1101" t="s">
        <v>567</v>
      </c>
      <c r="D30" s="1090" t="s">
        <v>801</v>
      </c>
      <c r="E30" s="1102">
        <v>90</v>
      </c>
      <c r="F30" s="1091">
        <f t="shared" si="3"/>
        <v>0.09</v>
      </c>
      <c r="G30" s="1090">
        <f t="shared" si="4"/>
        <v>43.65</v>
      </c>
    </row>
    <row r="31" spans="2:7" s="3" customFormat="1" ht="16.5" customHeight="1">
      <c r="B31" s="1116">
        <f t="shared" si="2"/>
        <v>19</v>
      </c>
      <c r="C31" s="1101" t="s">
        <v>28</v>
      </c>
      <c r="D31" s="1090" t="s">
        <v>844</v>
      </c>
      <c r="E31" s="1102">
        <v>20</v>
      </c>
      <c r="F31" s="1091">
        <f t="shared" si="3"/>
        <v>0.02</v>
      </c>
      <c r="G31" s="1090">
        <f t="shared" si="4"/>
        <v>9.700000000000001</v>
      </c>
    </row>
    <row r="32" spans="2:7" s="3" customFormat="1" ht="16.5" customHeight="1">
      <c r="B32" s="1116">
        <f t="shared" si="2"/>
        <v>20</v>
      </c>
      <c r="C32" s="1101" t="s">
        <v>569</v>
      </c>
      <c r="D32" s="1298" t="s">
        <v>753</v>
      </c>
      <c r="E32" s="1102">
        <f>36+36</f>
        <v>72</v>
      </c>
      <c r="F32" s="1091">
        <f t="shared" si="3"/>
        <v>0.072</v>
      </c>
      <c r="G32" s="1090">
        <f t="shared" si="4"/>
        <v>34.919999999999995</v>
      </c>
    </row>
    <row r="33" spans="2:7" s="3" customFormat="1" ht="16.5" customHeight="1">
      <c r="B33" s="1116">
        <f t="shared" si="2"/>
        <v>21</v>
      </c>
      <c r="C33" s="1097" t="s">
        <v>659</v>
      </c>
      <c r="D33" s="1093" t="s">
        <v>798</v>
      </c>
      <c r="E33" s="1102">
        <v>72</v>
      </c>
      <c r="F33" s="1091">
        <f t="shared" si="3"/>
        <v>0.072</v>
      </c>
      <c r="G33" s="1090">
        <f t="shared" si="4"/>
        <v>34.919999999999995</v>
      </c>
    </row>
    <row r="34" spans="2:7" s="3" customFormat="1" ht="16.5" customHeight="1">
      <c r="B34" s="1116">
        <f t="shared" si="2"/>
        <v>22</v>
      </c>
      <c r="C34" s="842" t="s">
        <v>656</v>
      </c>
      <c r="D34" s="1095" t="s">
        <v>679</v>
      </c>
      <c r="E34" s="1103">
        <v>18</v>
      </c>
      <c r="F34" s="1091">
        <f t="shared" si="3"/>
        <v>0.018</v>
      </c>
      <c r="G34" s="1091">
        <f t="shared" si="4"/>
        <v>8.729999999999999</v>
      </c>
    </row>
    <row r="35" spans="2:7" s="3" customFormat="1" ht="16.5" customHeight="1">
      <c r="B35" s="1116">
        <f t="shared" si="2"/>
        <v>23</v>
      </c>
      <c r="C35" s="1099" t="s">
        <v>526</v>
      </c>
      <c r="D35" s="1091" t="s">
        <v>880</v>
      </c>
      <c r="E35" s="1100">
        <v>46</v>
      </c>
      <c r="F35" s="1091">
        <f t="shared" si="3"/>
        <v>0.046</v>
      </c>
      <c r="G35" s="1091">
        <f t="shared" si="4"/>
        <v>22.31</v>
      </c>
    </row>
    <row r="36" spans="2:7" s="3" customFormat="1" ht="16.5" customHeight="1">
      <c r="B36" s="1116">
        <f t="shared" si="2"/>
        <v>24</v>
      </c>
      <c r="C36" s="1099" t="s">
        <v>532</v>
      </c>
      <c r="D36" s="1091" t="s">
        <v>796</v>
      </c>
      <c r="E36" s="1100">
        <v>90</v>
      </c>
      <c r="F36" s="1091">
        <f t="shared" si="3"/>
        <v>0.09</v>
      </c>
      <c r="G36" s="1091">
        <f t="shared" si="4"/>
        <v>43.65</v>
      </c>
    </row>
    <row r="37" spans="2:7" s="3" customFormat="1" ht="16.5" customHeight="1">
      <c r="B37" s="1116">
        <f t="shared" si="2"/>
        <v>25</v>
      </c>
      <c r="C37" s="1099" t="s">
        <v>534</v>
      </c>
      <c r="D37" s="1091" t="s">
        <v>763</v>
      </c>
      <c r="E37" s="1100">
        <v>15</v>
      </c>
      <c r="F37" s="1091">
        <f t="shared" si="3"/>
        <v>0.015</v>
      </c>
      <c r="G37" s="1091">
        <f t="shared" si="4"/>
        <v>7.2749999999999995</v>
      </c>
    </row>
    <row r="38" spans="2:7" s="3" customFormat="1" ht="16.5" customHeight="1">
      <c r="B38" s="1116">
        <f t="shared" si="2"/>
        <v>26</v>
      </c>
      <c r="C38" s="1099" t="s">
        <v>460</v>
      </c>
      <c r="D38" s="1117" t="s">
        <v>854</v>
      </c>
      <c r="E38" s="1100">
        <v>66.5</v>
      </c>
      <c r="F38" s="1091">
        <f t="shared" si="3"/>
        <v>0.0665</v>
      </c>
      <c r="G38" s="1091">
        <f t="shared" si="4"/>
        <v>32.252500000000005</v>
      </c>
    </row>
    <row r="39" spans="2:7" s="3" customFormat="1" ht="16.5" customHeight="1">
      <c r="B39" s="1116">
        <f t="shared" si="2"/>
        <v>27</v>
      </c>
      <c r="C39" s="1104" t="s">
        <v>785</v>
      </c>
      <c r="D39" s="1096" t="s">
        <v>760</v>
      </c>
      <c r="E39" s="1105">
        <v>15</v>
      </c>
      <c r="F39" s="1096">
        <f t="shared" si="3"/>
        <v>0.015</v>
      </c>
      <c r="G39" s="1091">
        <f t="shared" si="4"/>
        <v>7.2749999999999995</v>
      </c>
    </row>
    <row r="40" spans="2:7" s="3" customFormat="1" ht="14.25" customHeight="1">
      <c r="B40" s="1116">
        <f t="shared" si="2"/>
        <v>28</v>
      </c>
      <c r="C40" s="1099" t="s">
        <v>797</v>
      </c>
      <c r="D40" s="1091" t="s">
        <v>761</v>
      </c>
      <c r="E40" s="1100">
        <v>45</v>
      </c>
      <c r="F40" s="1091">
        <f t="shared" si="3"/>
        <v>0.045</v>
      </c>
      <c r="G40" s="1091">
        <f t="shared" si="4"/>
        <v>21.825</v>
      </c>
    </row>
    <row r="41" spans="2:7" s="3" customFormat="1" ht="16.5" customHeight="1">
      <c r="B41" s="1116">
        <f t="shared" si="2"/>
        <v>29</v>
      </c>
      <c r="C41" s="1099" t="s">
        <v>805</v>
      </c>
      <c r="D41" s="1091" t="s">
        <v>802</v>
      </c>
      <c r="E41" s="1100">
        <v>15</v>
      </c>
      <c r="F41" s="1091">
        <f t="shared" si="3"/>
        <v>0.015</v>
      </c>
      <c r="G41" s="1091">
        <f t="shared" si="4"/>
        <v>7.2749999999999995</v>
      </c>
    </row>
    <row r="42" spans="2:7" s="3" customFormat="1" ht="16.5" customHeight="1">
      <c r="B42" s="1116">
        <f t="shared" si="2"/>
        <v>30</v>
      </c>
      <c r="C42" s="1099" t="s">
        <v>544</v>
      </c>
      <c r="D42" s="1091" t="s">
        <v>604</v>
      </c>
      <c r="E42" s="1100">
        <v>150</v>
      </c>
      <c r="F42" s="1091">
        <f t="shared" si="3"/>
        <v>0.15</v>
      </c>
      <c r="G42" s="1091">
        <f t="shared" si="4"/>
        <v>72.75</v>
      </c>
    </row>
    <row r="43" spans="2:7" s="3" customFormat="1" ht="16.5" customHeight="1">
      <c r="B43" s="1116">
        <f t="shared" si="2"/>
        <v>31</v>
      </c>
      <c r="C43" s="1099" t="s">
        <v>793</v>
      </c>
      <c r="D43" s="1091" t="s">
        <v>794</v>
      </c>
      <c r="E43" s="1100">
        <v>21</v>
      </c>
      <c r="F43" s="1091">
        <f t="shared" si="3"/>
        <v>0.021</v>
      </c>
      <c r="G43" s="1091">
        <f t="shared" si="4"/>
        <v>10.185</v>
      </c>
    </row>
    <row r="44" spans="2:7" s="3" customFormat="1" ht="16.5" customHeight="1" thickBot="1">
      <c r="B44" s="1116">
        <f t="shared" si="2"/>
        <v>32</v>
      </c>
      <c r="C44" s="1099" t="s">
        <v>541</v>
      </c>
      <c r="D44" s="1091" t="s">
        <v>803</v>
      </c>
      <c r="E44" s="1100">
        <v>10</v>
      </c>
      <c r="F44" s="1091">
        <f t="shared" si="3"/>
        <v>0.01</v>
      </c>
      <c r="G44" s="1091">
        <f t="shared" si="4"/>
        <v>4.8500000000000005</v>
      </c>
    </row>
    <row r="45" spans="2:7" s="3" customFormat="1" ht="16.5" customHeight="1" thickBot="1">
      <c r="B45" s="709"/>
      <c r="C45" s="1107" t="s">
        <v>6</v>
      </c>
      <c r="D45" s="708"/>
      <c r="E45" s="1108">
        <f>SUM(E13:E44)</f>
        <v>2879.5</v>
      </c>
      <c r="F45" s="1109">
        <f>SUM(F13:F44)</f>
        <v>2.879499999999999</v>
      </c>
      <c r="G45" s="1109">
        <f>SUM(G13:G44)</f>
        <v>1396.5575000000006</v>
      </c>
    </row>
    <row r="46" spans="2:7" s="3" customFormat="1" ht="15.75" customHeight="1">
      <c r="B46" s="59"/>
      <c r="C46" s="60"/>
      <c r="D46" s="60"/>
      <c r="E46" s="60"/>
      <c r="F46" s="60"/>
      <c r="G46" s="60"/>
    </row>
    <row r="47" spans="2:7" s="3" customFormat="1" ht="15.75" customHeight="1">
      <c r="B47" s="59"/>
      <c r="C47" s="58" t="s">
        <v>73</v>
      </c>
      <c r="D47" s="58"/>
      <c r="E47" s="1110" t="s">
        <v>32</v>
      </c>
      <c r="F47" s="58"/>
      <c r="G47" s="58"/>
    </row>
    <row r="48" spans="2:7" ht="7.5" customHeight="1">
      <c r="B48" s="575"/>
      <c r="C48" s="60"/>
      <c r="D48" s="1111"/>
      <c r="E48" s="1111"/>
      <c r="F48" s="1111"/>
      <c r="G48" s="1111"/>
    </row>
    <row r="49" spans="2:7" ht="13.5" thickBot="1">
      <c r="B49" s="34"/>
      <c r="C49" s="1" t="s">
        <v>891</v>
      </c>
      <c r="D49" s="1"/>
      <c r="E49" s="1"/>
      <c r="F49" s="1"/>
      <c r="G49" s="1"/>
    </row>
    <row r="50" spans="2:7" ht="15">
      <c r="B50" s="1373"/>
      <c r="C50" s="1402" t="s">
        <v>887</v>
      </c>
      <c r="D50" s="1378" t="s">
        <v>888</v>
      </c>
      <c r="E50" s="1377">
        <v>10</v>
      </c>
      <c r="F50" s="1378">
        <f aca="true" t="shared" si="5" ref="F50:F57">E50/1000</f>
        <v>0.01</v>
      </c>
      <c r="G50" s="1378">
        <f aca="true" t="shared" si="6" ref="G50:G57">F50*485</f>
        <v>4.8500000000000005</v>
      </c>
    </row>
    <row r="51" spans="2:7" ht="15">
      <c r="B51" s="1374"/>
      <c r="C51" s="1101" t="s">
        <v>792</v>
      </c>
      <c r="D51" s="1093" t="s">
        <v>890</v>
      </c>
      <c r="E51" s="1093">
        <v>30</v>
      </c>
      <c r="F51" s="1091">
        <f t="shared" si="5"/>
        <v>0.03</v>
      </c>
      <c r="G51" s="1090">
        <f t="shared" si="6"/>
        <v>14.549999999999999</v>
      </c>
    </row>
    <row r="52" spans="2:7" ht="15">
      <c r="B52" s="1374"/>
      <c r="C52" s="691" t="s">
        <v>785</v>
      </c>
      <c r="D52" s="1379" t="s">
        <v>888</v>
      </c>
      <c r="E52" s="1093">
        <v>15</v>
      </c>
      <c r="F52" s="1091">
        <f t="shared" si="5"/>
        <v>0.015</v>
      </c>
      <c r="G52" s="1090">
        <f t="shared" si="6"/>
        <v>7.2749999999999995</v>
      </c>
    </row>
    <row r="53" spans="2:7" ht="15" hidden="1">
      <c r="B53" s="1374"/>
      <c r="C53" s="700"/>
      <c r="D53" s="700"/>
      <c r="E53" s="1102"/>
      <c r="F53" s="1091">
        <f t="shared" si="5"/>
        <v>0</v>
      </c>
      <c r="G53" s="1090">
        <f t="shared" si="6"/>
        <v>0</v>
      </c>
    </row>
    <row r="54" spans="2:7" ht="15" hidden="1">
      <c r="B54" s="1374"/>
      <c r="C54" s="691"/>
      <c r="D54" s="691"/>
      <c r="E54" s="1093"/>
      <c r="F54" s="1091">
        <f t="shared" si="5"/>
        <v>0</v>
      </c>
      <c r="G54" s="1090">
        <f t="shared" si="6"/>
        <v>0</v>
      </c>
    </row>
    <row r="55" spans="2:7" ht="15" hidden="1">
      <c r="B55" s="1374"/>
      <c r="C55" s="691"/>
      <c r="D55" s="691"/>
      <c r="E55" s="1093"/>
      <c r="F55" s="1091">
        <f t="shared" si="5"/>
        <v>0</v>
      </c>
      <c r="G55" s="1090">
        <f t="shared" si="6"/>
        <v>0</v>
      </c>
    </row>
    <row r="56" spans="2:7" ht="15" hidden="1">
      <c r="B56" s="1374"/>
      <c r="C56" s="691"/>
      <c r="D56" s="691"/>
      <c r="E56" s="1093"/>
      <c r="F56" s="1091">
        <f t="shared" si="5"/>
        <v>0</v>
      </c>
      <c r="G56" s="1090">
        <f t="shared" si="6"/>
        <v>0</v>
      </c>
    </row>
    <row r="57" spans="2:7" ht="15.75" hidden="1" thickBot="1">
      <c r="B57" s="1375"/>
      <c r="C57" s="1376"/>
      <c r="D57" s="1376"/>
      <c r="E57" s="1403"/>
      <c r="F57" s="1404">
        <f t="shared" si="5"/>
        <v>0</v>
      </c>
      <c r="G57" s="1405">
        <f t="shared" si="6"/>
        <v>0</v>
      </c>
    </row>
  </sheetData>
  <sheetProtection/>
  <mergeCells count="5">
    <mergeCell ref="B11:B12"/>
    <mergeCell ref="C11:C12"/>
    <mergeCell ref="D11:D12"/>
    <mergeCell ref="F11:G11"/>
    <mergeCell ref="B9:G10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1:P67"/>
  <sheetViews>
    <sheetView zoomScalePageLayoutView="0" workbookViewId="0" topLeftCell="A1">
      <pane xSplit="3" ySplit="7" topLeftCell="D5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10" sqref="P10"/>
    </sheetView>
  </sheetViews>
  <sheetFormatPr defaultColWidth="9.00390625" defaultRowHeight="12.75"/>
  <cols>
    <col min="1" max="1" width="5.25390625" style="0" customWidth="1"/>
    <col min="2" max="2" width="27.00390625" style="0" customWidth="1"/>
    <col min="3" max="3" width="10.875" style="0" hidden="1" customWidth="1"/>
    <col min="4" max="4" width="15.00390625" style="0" hidden="1" customWidth="1"/>
    <col min="5" max="5" width="11.125" style="0" hidden="1" customWidth="1"/>
    <col min="6" max="6" width="15.25390625" style="0" hidden="1" customWidth="1"/>
    <col min="8" max="8" width="11.00390625" style="0" customWidth="1"/>
    <col min="9" max="9" width="14.25390625" style="0" hidden="1" customWidth="1"/>
    <col min="10" max="13" width="9.125" style="0" customWidth="1"/>
    <col min="14" max="14" width="28.75390625" style="0" customWidth="1"/>
  </cols>
  <sheetData>
    <row r="1" spans="1:14" ht="12.75">
      <c r="A1" s="907"/>
      <c r="B1" s="78"/>
      <c r="C1" s="908"/>
      <c r="D1" s="78"/>
      <c r="E1" s="908"/>
      <c r="F1" s="1030"/>
      <c r="G1" s="1030"/>
      <c r="H1" s="1030"/>
      <c r="I1" s="1030"/>
      <c r="J1" s="1030"/>
      <c r="K1" s="1030"/>
      <c r="L1" s="908"/>
      <c r="M1" s="8" t="s">
        <v>832</v>
      </c>
      <c r="N1" s="908"/>
    </row>
    <row r="2" spans="1:14" ht="12.75">
      <c r="A2" s="907"/>
      <c r="B2" s="78"/>
      <c r="C2" s="908"/>
      <c r="D2" s="78"/>
      <c r="E2" s="908"/>
      <c r="F2" s="1030"/>
      <c r="G2" s="1030"/>
      <c r="H2" s="1030"/>
      <c r="I2" s="1030"/>
      <c r="J2" s="1030"/>
      <c r="K2" s="1030"/>
      <c r="L2" s="908"/>
      <c r="M2" s="8" t="s">
        <v>53</v>
      </c>
      <c r="N2" s="908"/>
    </row>
    <row r="3" spans="1:14" ht="12.75">
      <c r="A3" s="909"/>
      <c r="B3" s="910"/>
      <c r="C3" s="911"/>
      <c r="D3" s="910"/>
      <c r="E3" s="911"/>
      <c r="F3" s="913"/>
      <c r="G3" s="913"/>
      <c r="H3" s="913"/>
      <c r="I3" s="913"/>
      <c r="J3" s="913"/>
      <c r="K3" s="913"/>
      <c r="L3" s="911"/>
      <c r="M3" s="8" t="s">
        <v>35</v>
      </c>
      <c r="N3" s="911"/>
    </row>
    <row r="4" spans="1:14" ht="24.75" customHeight="1">
      <c r="A4" s="577"/>
      <c r="B4" s="912"/>
      <c r="C4" s="913"/>
      <c r="D4" s="913"/>
      <c r="E4" s="911"/>
      <c r="F4" s="913"/>
      <c r="G4" s="913"/>
      <c r="H4" s="913"/>
      <c r="I4" s="913"/>
      <c r="J4" s="913"/>
      <c r="K4" s="913"/>
      <c r="L4" s="913"/>
      <c r="M4" s="8" t="s">
        <v>758</v>
      </c>
      <c r="N4" s="913"/>
    </row>
    <row r="5" spans="1:14" ht="66.75" customHeight="1" thickBot="1">
      <c r="A5" s="577"/>
      <c r="B5" s="1638" t="s">
        <v>833</v>
      </c>
      <c r="C5" s="1639"/>
      <c r="D5" s="1639"/>
      <c r="E5" s="1639"/>
      <c r="F5" s="1639"/>
      <c r="G5" s="1639"/>
      <c r="H5" s="1639"/>
      <c r="I5" s="1639"/>
      <c r="J5" s="1638"/>
      <c r="K5" s="1638"/>
      <c r="L5" s="1638"/>
      <c r="M5" s="1638"/>
      <c r="N5" s="914"/>
    </row>
    <row r="6" spans="1:14" ht="15.75" thickBot="1">
      <c r="A6" s="1640" t="s">
        <v>2</v>
      </c>
      <c r="B6" s="1642" t="s">
        <v>3</v>
      </c>
      <c r="C6" s="1644" t="s">
        <v>54</v>
      </c>
      <c r="D6" s="1645"/>
      <c r="E6" s="1634" t="s">
        <v>55</v>
      </c>
      <c r="F6" s="1646"/>
      <c r="G6" s="1647" t="s">
        <v>6</v>
      </c>
      <c r="H6" s="1648"/>
      <c r="I6" s="1635"/>
      <c r="J6" s="1649" t="s">
        <v>56</v>
      </c>
      <c r="K6" s="1650"/>
      <c r="L6" s="1634" t="s">
        <v>57</v>
      </c>
      <c r="M6" s="1635"/>
      <c r="N6" s="1636" t="s">
        <v>38</v>
      </c>
    </row>
    <row r="7" spans="1:14" ht="45.75" thickBot="1">
      <c r="A7" s="1641"/>
      <c r="B7" s="1643"/>
      <c r="C7" s="915" t="s">
        <v>58</v>
      </c>
      <c r="D7" s="916" t="s">
        <v>343</v>
      </c>
      <c r="E7" s="917" t="s">
        <v>59</v>
      </c>
      <c r="F7" s="916" t="s">
        <v>344</v>
      </c>
      <c r="G7" s="918" t="s">
        <v>60</v>
      </c>
      <c r="H7" s="919" t="s">
        <v>343</v>
      </c>
      <c r="I7" s="919" t="s">
        <v>343</v>
      </c>
      <c r="J7" s="1021" t="s">
        <v>61</v>
      </c>
      <c r="K7" s="919" t="s">
        <v>345</v>
      </c>
      <c r="L7" s="918" t="s">
        <v>62</v>
      </c>
      <c r="M7" s="919" t="s">
        <v>346</v>
      </c>
      <c r="N7" s="1637"/>
    </row>
    <row r="8" spans="1:14" ht="8.25" customHeight="1" thickBot="1">
      <c r="A8" s="920"/>
      <c r="B8" s="921"/>
      <c r="C8" s="922"/>
      <c r="D8" s="923"/>
      <c r="E8" s="922"/>
      <c r="F8" s="923"/>
      <c r="G8" s="924"/>
      <c r="H8" s="925"/>
      <c r="I8" s="926"/>
      <c r="J8" s="927"/>
      <c r="K8" s="1029"/>
      <c r="L8" s="928"/>
      <c r="M8" s="1029"/>
      <c r="N8" s="929"/>
    </row>
    <row r="9" spans="1:14" ht="15" customHeight="1">
      <c r="A9" s="795">
        <v>1</v>
      </c>
      <c r="B9" s="803" t="s">
        <v>444</v>
      </c>
      <c r="C9" s="797">
        <v>9.5</v>
      </c>
      <c r="D9" s="794">
        <f>C9*870.84</f>
        <v>8272.98</v>
      </c>
      <c r="E9" s="798">
        <f>9.5+300</f>
        <v>309.5</v>
      </c>
      <c r="F9" s="794">
        <f>E9*359.9</f>
        <v>111389.04999999999</v>
      </c>
      <c r="G9" s="1025">
        <f>E9/1000</f>
        <v>0.3095</v>
      </c>
      <c r="H9" s="1026">
        <f>I9/1000</f>
        <v>119.66202999999999</v>
      </c>
      <c r="I9" s="1023">
        <f>D9+F9</f>
        <v>119662.02999999998</v>
      </c>
      <c r="J9" s="800"/>
      <c r="K9" s="930"/>
      <c r="L9" s="801">
        <v>0.3095</v>
      </c>
      <c r="M9" s="931">
        <v>119.66202999999999</v>
      </c>
      <c r="N9" s="814" t="s">
        <v>455</v>
      </c>
    </row>
    <row r="10" spans="1:16" ht="15" customHeight="1">
      <c r="A10" s="795">
        <f>A9+1</f>
        <v>2</v>
      </c>
      <c r="B10" s="803" t="s">
        <v>702</v>
      </c>
      <c r="C10" s="797">
        <f>3+2.6</f>
        <v>5.6</v>
      </c>
      <c r="D10" s="794">
        <f>C10*727.78</f>
        <v>4075.5679999999998</v>
      </c>
      <c r="E10" s="798">
        <f>3+2.6</f>
        <v>5.6</v>
      </c>
      <c r="F10" s="794">
        <f>E10*359.9</f>
        <v>2015.4399999999998</v>
      </c>
      <c r="G10" s="797">
        <f>(E10)/1000</f>
        <v>0.0056</v>
      </c>
      <c r="H10" s="1023">
        <f>I10/1000</f>
        <v>6.0910079999999995</v>
      </c>
      <c r="I10" s="1023">
        <f>D10+F10</f>
        <v>6091.008</v>
      </c>
      <c r="J10" s="1022">
        <v>0.003</v>
      </c>
      <c r="K10" s="931">
        <v>3.2630399999999997</v>
      </c>
      <c r="L10" s="801">
        <v>0.0026</v>
      </c>
      <c r="M10" s="931">
        <v>2.827968</v>
      </c>
      <c r="N10" s="814" t="s">
        <v>703</v>
      </c>
      <c r="O10" t="s">
        <v>863</v>
      </c>
      <c r="P10" s="1224"/>
    </row>
    <row r="11" spans="1:14" ht="15" customHeight="1">
      <c r="A11" s="795">
        <f aca="true" t="shared" si="0" ref="A11:A62">A10+1</f>
        <v>3</v>
      </c>
      <c r="B11" s="803" t="s">
        <v>704</v>
      </c>
      <c r="C11" s="864">
        <v>5</v>
      </c>
      <c r="D11" s="794">
        <f>C11*870.84</f>
        <v>4354.2</v>
      </c>
      <c r="E11" s="798">
        <v>5</v>
      </c>
      <c r="F11" s="794">
        <f>E11*359.9</f>
        <v>1799.5</v>
      </c>
      <c r="G11" s="797">
        <f>(E11)/1000</f>
        <v>0.005</v>
      </c>
      <c r="H11" s="1023">
        <f aca="true" t="shared" si="1" ref="H11:H62">I11/1000</f>
        <v>6.1537</v>
      </c>
      <c r="I11" s="1023">
        <f aca="true" t="shared" si="2" ref="I11:I62">D11+F11</f>
        <v>6153.7</v>
      </c>
      <c r="J11" s="800"/>
      <c r="K11" s="930"/>
      <c r="L11" s="805">
        <v>0.005</v>
      </c>
      <c r="M11" s="931">
        <v>6.1537</v>
      </c>
      <c r="N11" s="814" t="s">
        <v>705</v>
      </c>
    </row>
    <row r="12" spans="1:14" ht="15" customHeight="1">
      <c r="A12" s="795">
        <f t="shared" si="0"/>
        <v>4</v>
      </c>
      <c r="B12" s="796" t="s">
        <v>724</v>
      </c>
      <c r="C12" s="707">
        <v>3</v>
      </c>
      <c r="D12" s="794">
        <f>C12*727.78</f>
        <v>2183.34</v>
      </c>
      <c r="E12" s="706">
        <v>3</v>
      </c>
      <c r="F12" s="794">
        <f>E12*359.9</f>
        <v>1079.6999999999998</v>
      </c>
      <c r="G12" s="797">
        <f>(E12)/1000</f>
        <v>0.003</v>
      </c>
      <c r="H12" s="1023">
        <f t="shared" si="1"/>
        <v>3.26304</v>
      </c>
      <c r="I12" s="1023">
        <f t="shared" si="2"/>
        <v>3263.04</v>
      </c>
      <c r="J12" s="800"/>
      <c r="K12" s="930"/>
      <c r="L12" s="805">
        <v>0.003</v>
      </c>
      <c r="M12" s="932">
        <v>3.26304</v>
      </c>
      <c r="N12" s="802" t="s">
        <v>756</v>
      </c>
    </row>
    <row r="13" spans="1:14" ht="15" customHeight="1">
      <c r="A13" s="795">
        <f t="shared" si="0"/>
        <v>5</v>
      </c>
      <c r="B13" s="813" t="s">
        <v>706</v>
      </c>
      <c r="C13" s="707">
        <v>1</v>
      </c>
      <c r="D13" s="794">
        <f>C13*870.84</f>
        <v>870.84</v>
      </c>
      <c r="E13" s="706">
        <v>1</v>
      </c>
      <c r="F13" s="794">
        <f>E13*359.9</f>
        <v>359.9</v>
      </c>
      <c r="G13" s="797">
        <f>(E13)/1000</f>
        <v>0.001</v>
      </c>
      <c r="H13" s="1023">
        <f t="shared" si="1"/>
        <v>1.23074</v>
      </c>
      <c r="I13" s="1023">
        <f t="shared" si="2"/>
        <v>1230.74</v>
      </c>
      <c r="J13" s="1022">
        <v>0.001</v>
      </c>
      <c r="K13" s="930">
        <v>1.23074</v>
      </c>
      <c r="L13" s="805"/>
      <c r="M13" s="932"/>
      <c r="N13" s="814" t="s">
        <v>707</v>
      </c>
    </row>
    <row r="14" spans="1:14" ht="15" customHeight="1">
      <c r="A14" s="795">
        <f t="shared" si="0"/>
        <v>6</v>
      </c>
      <c r="B14" s="813" t="s">
        <v>716</v>
      </c>
      <c r="C14" s="707">
        <v>15</v>
      </c>
      <c r="D14" s="794">
        <f>C14*870.84</f>
        <v>13062.6</v>
      </c>
      <c r="E14" s="706">
        <v>15</v>
      </c>
      <c r="F14" s="794">
        <f>E14*330.4</f>
        <v>4956</v>
      </c>
      <c r="G14" s="797">
        <f>(E14)/1000</f>
        <v>0.015</v>
      </c>
      <c r="H14" s="1023">
        <f t="shared" si="1"/>
        <v>18.0186</v>
      </c>
      <c r="I14" s="1023">
        <f t="shared" si="2"/>
        <v>18018.6</v>
      </c>
      <c r="J14" s="1022">
        <v>0.015</v>
      </c>
      <c r="K14" s="930">
        <v>18.0186</v>
      </c>
      <c r="L14" s="805"/>
      <c r="M14" s="932"/>
      <c r="N14" s="802" t="s">
        <v>717</v>
      </c>
    </row>
    <row r="15" spans="1:14" ht="15" customHeight="1">
      <c r="A15" s="795">
        <f t="shared" si="0"/>
        <v>7</v>
      </c>
      <c r="B15" s="807" t="s">
        <v>65</v>
      </c>
      <c r="C15" s="707">
        <v>9.4</v>
      </c>
      <c r="D15" s="794">
        <f>C15*727.78</f>
        <v>6841.132</v>
      </c>
      <c r="E15" s="867">
        <v>94</v>
      </c>
      <c r="F15" s="794">
        <f>E15*330.4</f>
        <v>31057.6</v>
      </c>
      <c r="G15" s="797">
        <f>0.094</f>
        <v>0.094</v>
      </c>
      <c r="H15" s="1023">
        <f t="shared" si="1"/>
        <v>37.898731999999995</v>
      </c>
      <c r="I15" s="1023">
        <f t="shared" si="2"/>
        <v>37898.731999999996</v>
      </c>
      <c r="J15" s="1022">
        <v>0.094</v>
      </c>
      <c r="K15" s="930">
        <v>37.898731999999995</v>
      </c>
      <c r="L15" s="805"/>
      <c r="M15" s="932"/>
      <c r="N15" s="804" t="s">
        <v>401</v>
      </c>
    </row>
    <row r="16" spans="1:14" ht="15" customHeight="1">
      <c r="A16" s="795">
        <f t="shared" si="0"/>
        <v>8</v>
      </c>
      <c r="B16" s="807" t="s">
        <v>351</v>
      </c>
      <c r="C16" s="707">
        <v>4</v>
      </c>
      <c r="D16" s="794">
        <f>C16*727.78</f>
        <v>2911.12</v>
      </c>
      <c r="E16" s="867">
        <v>40</v>
      </c>
      <c r="F16" s="794">
        <f>E16*330.4</f>
        <v>13216</v>
      </c>
      <c r="G16" s="797">
        <v>0.04</v>
      </c>
      <c r="H16" s="1023">
        <f t="shared" si="1"/>
        <v>16.127119999999998</v>
      </c>
      <c r="I16" s="1023">
        <f t="shared" si="2"/>
        <v>16127.119999999999</v>
      </c>
      <c r="J16" s="1022">
        <v>0.04</v>
      </c>
      <c r="K16" s="930">
        <v>16.127119999999998</v>
      </c>
      <c r="L16" s="805"/>
      <c r="M16" s="932"/>
      <c r="N16" s="804" t="s">
        <v>401</v>
      </c>
    </row>
    <row r="17" spans="1:14" ht="15" customHeight="1">
      <c r="A17" s="795">
        <f t="shared" si="0"/>
        <v>9</v>
      </c>
      <c r="B17" s="807" t="s">
        <v>469</v>
      </c>
      <c r="C17" s="707"/>
      <c r="D17" s="794"/>
      <c r="E17" s="706">
        <v>8</v>
      </c>
      <c r="F17" s="794">
        <f>E17*359.9</f>
        <v>2879.2</v>
      </c>
      <c r="G17" s="797">
        <f>E17/1000</f>
        <v>0.008</v>
      </c>
      <c r="H17" s="1023">
        <f t="shared" si="1"/>
        <v>2.8792</v>
      </c>
      <c r="I17" s="1023">
        <f t="shared" si="2"/>
        <v>2879.2</v>
      </c>
      <c r="J17" s="1022">
        <v>0.008</v>
      </c>
      <c r="K17" s="930">
        <v>2.8792</v>
      </c>
      <c r="L17" s="805"/>
      <c r="M17" s="932"/>
      <c r="N17" s="806" t="s">
        <v>402</v>
      </c>
    </row>
    <row r="18" spans="1:14" ht="15" customHeight="1">
      <c r="A18" s="795">
        <f t="shared" si="0"/>
        <v>10</v>
      </c>
      <c r="B18" s="812" t="s">
        <v>584</v>
      </c>
      <c r="C18" s="707">
        <v>50</v>
      </c>
      <c r="D18" s="794">
        <f aca="true" t="shared" si="3" ref="D18:D23">C18*727.78</f>
        <v>36389</v>
      </c>
      <c r="E18" s="706">
        <v>5</v>
      </c>
      <c r="F18" s="794">
        <f>E18*330.4</f>
        <v>1652</v>
      </c>
      <c r="G18" s="797">
        <f>(E18+C18)/1000</f>
        <v>0.055</v>
      </c>
      <c r="H18" s="1023">
        <f t="shared" si="1"/>
        <v>38.041</v>
      </c>
      <c r="I18" s="1023">
        <f t="shared" si="2"/>
        <v>38041</v>
      </c>
      <c r="J18" s="1022"/>
      <c r="K18" s="930"/>
      <c r="L18" s="805">
        <v>0.055</v>
      </c>
      <c r="M18" s="932">
        <v>38.041</v>
      </c>
      <c r="N18" s="817" t="s">
        <v>585</v>
      </c>
    </row>
    <row r="19" spans="1:14" ht="15" customHeight="1">
      <c r="A19" s="795">
        <f t="shared" si="0"/>
        <v>11</v>
      </c>
      <c r="B19" s="812" t="s">
        <v>583</v>
      </c>
      <c r="C19" s="797">
        <v>50</v>
      </c>
      <c r="D19" s="794">
        <f t="shared" si="3"/>
        <v>36389</v>
      </c>
      <c r="E19" s="798">
        <v>5</v>
      </c>
      <c r="F19" s="794">
        <f>E19*330.4</f>
        <v>1652</v>
      </c>
      <c r="G19" s="797">
        <f>(E19+C19)/1000</f>
        <v>0.055</v>
      </c>
      <c r="H19" s="1023">
        <f t="shared" si="1"/>
        <v>38.041</v>
      </c>
      <c r="I19" s="1023">
        <f t="shared" si="2"/>
        <v>38041</v>
      </c>
      <c r="J19" s="1022"/>
      <c r="K19" s="930"/>
      <c r="L19" s="801">
        <v>0.055</v>
      </c>
      <c r="M19" s="931">
        <v>38.041</v>
      </c>
      <c r="N19" s="802" t="s">
        <v>585</v>
      </c>
    </row>
    <row r="20" spans="1:14" ht="15" customHeight="1">
      <c r="A20" s="795">
        <f t="shared" si="0"/>
        <v>12</v>
      </c>
      <c r="B20" s="812" t="s">
        <v>580</v>
      </c>
      <c r="C20" s="797">
        <v>50</v>
      </c>
      <c r="D20" s="794">
        <f t="shared" si="3"/>
        <v>36389</v>
      </c>
      <c r="E20" s="798">
        <v>2</v>
      </c>
      <c r="F20" s="794">
        <f>E20*330.4</f>
        <v>660.8</v>
      </c>
      <c r="G20" s="797">
        <f>(E20+C20)/1000</f>
        <v>0.052</v>
      </c>
      <c r="H20" s="1023">
        <f t="shared" si="1"/>
        <v>37.049800000000005</v>
      </c>
      <c r="I20" s="1023">
        <f t="shared" si="2"/>
        <v>37049.8</v>
      </c>
      <c r="J20" s="1022"/>
      <c r="K20" s="930"/>
      <c r="L20" s="801">
        <v>0.052</v>
      </c>
      <c r="M20" s="931">
        <v>37.049800000000005</v>
      </c>
      <c r="N20" s="802" t="s">
        <v>577</v>
      </c>
    </row>
    <row r="21" spans="1:14" ht="15" customHeight="1">
      <c r="A21" s="795">
        <f t="shared" si="0"/>
        <v>13</v>
      </c>
      <c r="B21" s="807" t="s">
        <v>470</v>
      </c>
      <c r="C21" s="707">
        <v>2</v>
      </c>
      <c r="D21" s="794">
        <f t="shared" si="3"/>
        <v>1455.56</v>
      </c>
      <c r="E21" s="706">
        <f>8+40</f>
        <v>48</v>
      </c>
      <c r="F21" s="794">
        <f>E21*330.4</f>
        <v>15859.199999999999</v>
      </c>
      <c r="G21" s="797">
        <f>E21/1000</f>
        <v>0.048</v>
      </c>
      <c r="H21" s="1023">
        <f t="shared" si="1"/>
        <v>17.31476</v>
      </c>
      <c r="I21" s="1023">
        <f t="shared" si="2"/>
        <v>17314.76</v>
      </c>
      <c r="J21" s="1022">
        <v>0.048</v>
      </c>
      <c r="K21" s="930">
        <v>17.31476</v>
      </c>
      <c r="L21" s="805"/>
      <c r="M21" s="932"/>
      <c r="N21" s="806" t="s">
        <v>471</v>
      </c>
    </row>
    <row r="22" spans="1:14" ht="15" customHeight="1">
      <c r="A22" s="795">
        <f>A21+1</f>
        <v>14</v>
      </c>
      <c r="B22" s="813" t="s">
        <v>632</v>
      </c>
      <c r="C22" s="707">
        <v>8</v>
      </c>
      <c r="D22" s="794">
        <f t="shared" si="3"/>
        <v>5822.24</v>
      </c>
      <c r="E22" s="706"/>
      <c r="F22" s="794"/>
      <c r="G22" s="797">
        <f>(E22+C22)/1000</f>
        <v>0.008</v>
      </c>
      <c r="H22" s="1023">
        <f t="shared" si="1"/>
        <v>5.82224</v>
      </c>
      <c r="I22" s="1023">
        <f t="shared" si="2"/>
        <v>5822.24</v>
      </c>
      <c r="J22" s="1022">
        <v>0.008</v>
      </c>
      <c r="K22" s="930">
        <v>5.82224</v>
      </c>
      <c r="L22" s="805"/>
      <c r="M22" s="932"/>
      <c r="N22" s="806" t="s">
        <v>401</v>
      </c>
    </row>
    <row r="23" spans="1:14" ht="15" customHeight="1">
      <c r="A23" s="795">
        <f t="shared" si="0"/>
        <v>15</v>
      </c>
      <c r="B23" s="807" t="s">
        <v>472</v>
      </c>
      <c r="C23" s="707">
        <v>0.7</v>
      </c>
      <c r="D23" s="794">
        <f t="shared" si="3"/>
        <v>509.44599999999997</v>
      </c>
      <c r="E23" s="706">
        <f>1+100</f>
        <v>101</v>
      </c>
      <c r="F23" s="794">
        <f>E23*330.4</f>
        <v>33370.399999999994</v>
      </c>
      <c r="G23" s="797">
        <f>E23/1000</f>
        <v>0.101</v>
      </c>
      <c r="H23" s="1023">
        <f t="shared" si="1"/>
        <v>33.879846</v>
      </c>
      <c r="I23" s="1023">
        <f t="shared" si="2"/>
        <v>33879.846</v>
      </c>
      <c r="J23" s="1022">
        <v>0.101</v>
      </c>
      <c r="K23" s="930">
        <v>33.879846</v>
      </c>
      <c r="L23" s="805"/>
      <c r="M23" s="932"/>
      <c r="N23" s="817" t="s">
        <v>471</v>
      </c>
    </row>
    <row r="24" spans="1:14" ht="15" customHeight="1">
      <c r="A24" s="795">
        <f t="shared" si="0"/>
        <v>16</v>
      </c>
      <c r="B24" s="813" t="s">
        <v>633</v>
      </c>
      <c r="C24" s="707">
        <v>1.5</v>
      </c>
      <c r="D24" s="794">
        <f aca="true" t="shared" si="4" ref="D24:D29">C24*870.84</f>
        <v>1306.26</v>
      </c>
      <c r="E24" s="706"/>
      <c r="F24" s="794">
        <f aca="true" t="shared" si="5" ref="F24:F29">E24*359.9</f>
        <v>0</v>
      </c>
      <c r="G24" s="797">
        <f>(E24+C24)/1000</f>
        <v>0.0015</v>
      </c>
      <c r="H24" s="1023">
        <f t="shared" si="1"/>
        <v>1.30626</v>
      </c>
      <c r="I24" s="1023">
        <f t="shared" si="2"/>
        <v>1306.26</v>
      </c>
      <c r="J24" s="1022">
        <v>0.0015</v>
      </c>
      <c r="K24" s="930">
        <v>1.30626</v>
      </c>
      <c r="L24" s="805"/>
      <c r="M24" s="932"/>
      <c r="N24" s="817" t="s">
        <v>402</v>
      </c>
    </row>
    <row r="25" spans="1:14" ht="15" customHeight="1">
      <c r="A25" s="795">
        <f t="shared" si="0"/>
        <v>17</v>
      </c>
      <c r="B25" s="813" t="s">
        <v>473</v>
      </c>
      <c r="C25" s="707">
        <v>6</v>
      </c>
      <c r="D25" s="794">
        <f t="shared" si="4"/>
        <v>5225.04</v>
      </c>
      <c r="E25" s="706">
        <v>6</v>
      </c>
      <c r="F25" s="794">
        <f t="shared" si="5"/>
        <v>2159.3999999999996</v>
      </c>
      <c r="G25" s="797">
        <f aca="true" t="shared" si="6" ref="G25:G31">E25/1000</f>
        <v>0.006</v>
      </c>
      <c r="H25" s="1023">
        <f t="shared" si="1"/>
        <v>7.38444</v>
      </c>
      <c r="I25" s="1023">
        <f t="shared" si="2"/>
        <v>7384.44</v>
      </c>
      <c r="J25" s="1022">
        <v>0.006</v>
      </c>
      <c r="K25" s="930">
        <v>7.38444</v>
      </c>
      <c r="L25" s="805"/>
      <c r="M25" s="932"/>
      <c r="N25" s="817" t="s">
        <v>477</v>
      </c>
    </row>
    <row r="26" spans="1:14" ht="15" customHeight="1">
      <c r="A26" s="795">
        <f t="shared" si="0"/>
        <v>18</v>
      </c>
      <c r="B26" s="807" t="s">
        <v>457</v>
      </c>
      <c r="C26" s="707">
        <v>3</v>
      </c>
      <c r="D26" s="794">
        <f t="shared" si="4"/>
        <v>2612.52</v>
      </c>
      <c r="E26" s="706">
        <v>3</v>
      </c>
      <c r="F26" s="794">
        <f t="shared" si="5"/>
        <v>1079.6999999999998</v>
      </c>
      <c r="G26" s="797">
        <f t="shared" si="6"/>
        <v>0.003</v>
      </c>
      <c r="H26" s="1023">
        <f t="shared" si="1"/>
        <v>3.69222</v>
      </c>
      <c r="I26" s="1023">
        <f t="shared" si="2"/>
        <v>3692.22</v>
      </c>
      <c r="J26" s="1022"/>
      <c r="K26" s="930"/>
      <c r="L26" s="805">
        <v>0.003</v>
      </c>
      <c r="M26" s="932">
        <v>3.69222</v>
      </c>
      <c r="N26" s="810" t="s">
        <v>458</v>
      </c>
    </row>
    <row r="27" spans="1:14" ht="15" customHeight="1">
      <c r="A27" s="795">
        <f t="shared" si="0"/>
        <v>19</v>
      </c>
      <c r="B27" s="807" t="s">
        <v>425</v>
      </c>
      <c r="C27" s="707">
        <v>10</v>
      </c>
      <c r="D27" s="794">
        <f t="shared" si="4"/>
        <v>8708.4</v>
      </c>
      <c r="E27" s="706">
        <v>74</v>
      </c>
      <c r="F27" s="794">
        <f>E27*330.4</f>
        <v>24449.6</v>
      </c>
      <c r="G27" s="797">
        <v>0.074</v>
      </c>
      <c r="H27" s="1028">
        <f t="shared" si="1"/>
        <v>33.158</v>
      </c>
      <c r="I27" s="1023">
        <f t="shared" si="2"/>
        <v>33158</v>
      </c>
      <c r="J27" s="1022"/>
      <c r="K27" s="930"/>
      <c r="L27" s="805">
        <v>0.074</v>
      </c>
      <c r="M27" s="932">
        <v>33.158</v>
      </c>
      <c r="N27" s="810"/>
    </row>
    <row r="28" spans="1:14" ht="15" customHeight="1">
      <c r="A28" s="795">
        <f t="shared" si="0"/>
        <v>20</v>
      </c>
      <c r="B28" s="807" t="s">
        <v>664</v>
      </c>
      <c r="C28" s="707">
        <v>15</v>
      </c>
      <c r="D28" s="794">
        <f t="shared" si="4"/>
        <v>13062.6</v>
      </c>
      <c r="E28" s="706">
        <v>70</v>
      </c>
      <c r="F28" s="794">
        <f>E28*330.4</f>
        <v>23128</v>
      </c>
      <c r="G28" s="797">
        <f>0.07</f>
        <v>0.07</v>
      </c>
      <c r="H28" s="1028">
        <f t="shared" si="1"/>
        <v>36.190599999999996</v>
      </c>
      <c r="I28" s="1023">
        <f t="shared" si="2"/>
        <v>36190.6</v>
      </c>
      <c r="J28" s="1022"/>
      <c r="K28" s="930"/>
      <c r="L28" s="805">
        <v>0.07</v>
      </c>
      <c r="M28" s="932">
        <v>36.190599999999996</v>
      </c>
      <c r="N28" s="810"/>
    </row>
    <row r="29" spans="1:14" ht="15" customHeight="1">
      <c r="A29" s="795">
        <f t="shared" si="0"/>
        <v>21</v>
      </c>
      <c r="B29" s="813" t="s">
        <v>429</v>
      </c>
      <c r="C29" s="707">
        <v>1</v>
      </c>
      <c r="D29" s="794">
        <f t="shared" si="4"/>
        <v>870.84</v>
      </c>
      <c r="E29" s="866">
        <v>2</v>
      </c>
      <c r="F29" s="794">
        <f t="shared" si="5"/>
        <v>719.8</v>
      </c>
      <c r="G29" s="797">
        <f t="shared" si="6"/>
        <v>0.002</v>
      </c>
      <c r="H29" s="1023">
        <f t="shared" si="1"/>
        <v>1.5906399999999998</v>
      </c>
      <c r="I29" s="1023">
        <f t="shared" si="2"/>
        <v>1590.6399999999999</v>
      </c>
      <c r="J29" s="1022"/>
      <c r="K29" s="930"/>
      <c r="L29" s="805">
        <v>0.002</v>
      </c>
      <c r="M29" s="933">
        <v>1.5906399999999998</v>
      </c>
      <c r="N29" s="815" t="s">
        <v>433</v>
      </c>
    </row>
    <row r="30" spans="1:14" ht="15" customHeight="1">
      <c r="A30" s="795">
        <f t="shared" si="0"/>
        <v>22</v>
      </c>
      <c r="B30" s="807" t="s">
        <v>123</v>
      </c>
      <c r="C30" s="707">
        <v>6</v>
      </c>
      <c r="D30" s="794">
        <f aca="true" t="shared" si="7" ref="D30:D35">C30*727.78</f>
        <v>4366.68</v>
      </c>
      <c r="E30" s="706">
        <v>10.5</v>
      </c>
      <c r="F30" s="794">
        <f>E30*330.4</f>
        <v>3469.2</v>
      </c>
      <c r="G30" s="797">
        <f t="shared" si="6"/>
        <v>0.0105</v>
      </c>
      <c r="H30" s="1023">
        <f t="shared" si="1"/>
        <v>7.83588</v>
      </c>
      <c r="I30" s="1023">
        <f t="shared" si="2"/>
        <v>7835.88</v>
      </c>
      <c r="J30" s="1022">
        <v>0.0105</v>
      </c>
      <c r="K30" s="930">
        <v>7.83588</v>
      </c>
      <c r="L30" s="809"/>
      <c r="M30" s="932"/>
      <c r="N30" s="815" t="s">
        <v>401</v>
      </c>
    </row>
    <row r="31" spans="1:14" ht="15" customHeight="1">
      <c r="A31" s="795">
        <f t="shared" si="0"/>
        <v>23</v>
      </c>
      <c r="B31" s="807" t="s">
        <v>46</v>
      </c>
      <c r="C31" s="707">
        <v>3</v>
      </c>
      <c r="D31" s="794">
        <f t="shared" si="7"/>
        <v>2183.34</v>
      </c>
      <c r="E31" s="706">
        <v>15</v>
      </c>
      <c r="F31" s="794">
        <f>E31*330.4</f>
        <v>4956</v>
      </c>
      <c r="G31" s="797">
        <f t="shared" si="6"/>
        <v>0.015</v>
      </c>
      <c r="H31" s="1023">
        <f t="shared" si="1"/>
        <v>7.13934</v>
      </c>
      <c r="I31" s="1023">
        <f t="shared" si="2"/>
        <v>7139.34</v>
      </c>
      <c r="J31" s="1022">
        <v>0.015</v>
      </c>
      <c r="K31" s="930">
        <v>7.13934</v>
      </c>
      <c r="L31" s="805"/>
      <c r="M31" s="932"/>
      <c r="N31" s="806" t="s">
        <v>401</v>
      </c>
    </row>
    <row r="32" spans="1:14" ht="15" customHeight="1">
      <c r="A32" s="795">
        <f t="shared" si="0"/>
        <v>24</v>
      </c>
      <c r="B32" s="812" t="s">
        <v>590</v>
      </c>
      <c r="C32" s="707">
        <v>40</v>
      </c>
      <c r="D32" s="794">
        <f t="shared" si="7"/>
        <v>29111.199999999997</v>
      </c>
      <c r="E32" s="706">
        <v>5</v>
      </c>
      <c r="F32" s="794">
        <f>E32*330.4</f>
        <v>1652</v>
      </c>
      <c r="G32" s="797">
        <f>(E32+C32)/1000</f>
        <v>0.045</v>
      </c>
      <c r="H32" s="1023">
        <f t="shared" si="1"/>
        <v>30.763199999999998</v>
      </c>
      <c r="I32" s="1023">
        <f t="shared" si="2"/>
        <v>30763.199999999997</v>
      </c>
      <c r="J32" s="1022">
        <v>0.045</v>
      </c>
      <c r="K32" s="930">
        <v>30.763199999999998</v>
      </c>
      <c r="L32" s="805"/>
      <c r="M32" s="932"/>
      <c r="N32" s="815" t="s">
        <v>591</v>
      </c>
    </row>
    <row r="33" spans="1:14" ht="15" customHeight="1">
      <c r="A33" s="795">
        <f t="shared" si="0"/>
        <v>25</v>
      </c>
      <c r="B33" s="813" t="s">
        <v>592</v>
      </c>
      <c r="C33" s="707">
        <v>25</v>
      </c>
      <c r="D33" s="794">
        <f t="shared" si="7"/>
        <v>18194.5</v>
      </c>
      <c r="E33" s="706">
        <v>15</v>
      </c>
      <c r="F33" s="794">
        <f>E33*330.4</f>
        <v>4956</v>
      </c>
      <c r="G33" s="797">
        <f>(E33+C33)/1000</f>
        <v>0.04</v>
      </c>
      <c r="H33" s="1023">
        <f t="shared" si="1"/>
        <v>23.1505</v>
      </c>
      <c r="I33" s="1023">
        <f t="shared" si="2"/>
        <v>23150.5</v>
      </c>
      <c r="J33" s="1022"/>
      <c r="K33" s="930"/>
      <c r="L33" s="805">
        <v>0.04</v>
      </c>
      <c r="M33" s="932">
        <v>23.1505</v>
      </c>
      <c r="N33" s="817" t="s">
        <v>593</v>
      </c>
    </row>
    <row r="34" spans="1:14" ht="15" customHeight="1">
      <c r="A34" s="795">
        <f t="shared" si="0"/>
        <v>26</v>
      </c>
      <c r="B34" s="813" t="s">
        <v>244</v>
      </c>
      <c r="C34" s="707">
        <v>5</v>
      </c>
      <c r="D34" s="794">
        <f t="shared" si="7"/>
        <v>3638.8999999999996</v>
      </c>
      <c r="E34" s="706">
        <v>92</v>
      </c>
      <c r="F34" s="794">
        <f>E34*330.4</f>
        <v>30396.8</v>
      </c>
      <c r="G34" s="797">
        <f>E34/1000</f>
        <v>0.092</v>
      </c>
      <c r="H34" s="1023">
        <f t="shared" si="1"/>
        <v>34.0357</v>
      </c>
      <c r="I34" s="1023">
        <f t="shared" si="2"/>
        <v>34035.7</v>
      </c>
      <c r="J34" s="1022">
        <v>0.092</v>
      </c>
      <c r="K34" s="930">
        <v>34.0357</v>
      </c>
      <c r="L34" s="805"/>
      <c r="M34" s="932"/>
      <c r="N34" s="810" t="s">
        <v>471</v>
      </c>
    </row>
    <row r="35" spans="1:14" ht="15" customHeight="1">
      <c r="A35" s="795">
        <f t="shared" si="0"/>
        <v>27</v>
      </c>
      <c r="B35" s="807" t="s">
        <v>690</v>
      </c>
      <c r="C35" s="707">
        <v>1</v>
      </c>
      <c r="D35" s="794">
        <f t="shared" si="7"/>
        <v>727.78</v>
      </c>
      <c r="E35" s="706"/>
      <c r="F35" s="794"/>
      <c r="G35" s="797">
        <f>(E35+C35)/1000</f>
        <v>0.001</v>
      </c>
      <c r="H35" s="1023">
        <f t="shared" si="1"/>
        <v>0.72778</v>
      </c>
      <c r="I35" s="1023">
        <f t="shared" si="2"/>
        <v>727.78</v>
      </c>
      <c r="J35" s="1022">
        <v>0.001</v>
      </c>
      <c r="K35" s="930">
        <v>0.72778</v>
      </c>
      <c r="L35" s="805"/>
      <c r="M35" s="932"/>
      <c r="N35" s="806" t="s">
        <v>401</v>
      </c>
    </row>
    <row r="36" spans="1:14" s="3" customFormat="1" ht="15" customHeight="1">
      <c r="A36" s="795">
        <f t="shared" si="0"/>
        <v>28</v>
      </c>
      <c r="B36" s="819" t="s">
        <v>685</v>
      </c>
      <c r="C36" s="707">
        <v>2.5</v>
      </c>
      <c r="D36" s="794">
        <f>C36*870.84</f>
        <v>2177.1</v>
      </c>
      <c r="E36" s="706"/>
      <c r="F36" s="794"/>
      <c r="G36" s="797">
        <f>(E36+C36)/1000</f>
        <v>0.0025</v>
      </c>
      <c r="H36" s="1023">
        <f t="shared" si="1"/>
        <v>2.1771</v>
      </c>
      <c r="I36" s="1023">
        <f t="shared" si="2"/>
        <v>2177.1</v>
      </c>
      <c r="J36" s="1022"/>
      <c r="K36" s="930"/>
      <c r="L36" s="805">
        <v>0.0025</v>
      </c>
      <c r="M36" s="932">
        <v>2.1771</v>
      </c>
      <c r="N36" s="806" t="s">
        <v>402</v>
      </c>
    </row>
    <row r="37" spans="1:14" ht="15" customHeight="1">
      <c r="A37" s="795">
        <f t="shared" si="0"/>
        <v>29</v>
      </c>
      <c r="B37" s="819" t="s">
        <v>683</v>
      </c>
      <c r="C37" s="707">
        <v>4</v>
      </c>
      <c r="D37" s="794">
        <f>C37*727.78</f>
        <v>2911.12</v>
      </c>
      <c r="E37" s="706">
        <v>4</v>
      </c>
      <c r="F37" s="794">
        <f>E37*330.4</f>
        <v>1321.6</v>
      </c>
      <c r="G37" s="797">
        <f>(C37)/1000</f>
        <v>0.004</v>
      </c>
      <c r="H37" s="1023">
        <f aca="true" t="shared" si="8" ref="H37:H49">I37/1000</f>
        <v>4.23272</v>
      </c>
      <c r="I37" s="1023">
        <f aca="true" t="shared" si="9" ref="I37:I51">D37+F37</f>
        <v>4232.719999999999</v>
      </c>
      <c r="J37" s="799">
        <v>0.004</v>
      </c>
      <c r="K37" s="906">
        <v>4.23272</v>
      </c>
      <c r="L37" s="805"/>
      <c r="M37" s="932"/>
      <c r="N37" s="806" t="s">
        <v>401</v>
      </c>
    </row>
    <row r="38" spans="1:14" ht="15" customHeight="1">
      <c r="A38" s="795">
        <f t="shared" si="0"/>
        <v>30</v>
      </c>
      <c r="B38" s="813" t="s">
        <v>738</v>
      </c>
      <c r="C38" s="707">
        <f>10</f>
        <v>10</v>
      </c>
      <c r="D38" s="794">
        <f>C38*870.84</f>
        <v>8708.4</v>
      </c>
      <c r="E38" s="706">
        <f>100+122</f>
        <v>222</v>
      </c>
      <c r="F38" s="794">
        <f>E38*359.9</f>
        <v>79897.79999999999</v>
      </c>
      <c r="G38" s="797">
        <f>222/1000</f>
        <v>0.222</v>
      </c>
      <c r="H38" s="1023">
        <f t="shared" si="8"/>
        <v>88.60619999999999</v>
      </c>
      <c r="I38" s="1023">
        <f t="shared" si="9"/>
        <v>88606.19999999998</v>
      </c>
      <c r="J38" s="799">
        <v>0.222</v>
      </c>
      <c r="K38" s="906">
        <v>88.60619999999999</v>
      </c>
      <c r="L38" s="805"/>
      <c r="M38" s="932"/>
      <c r="N38" s="817" t="s">
        <v>739</v>
      </c>
    </row>
    <row r="39" spans="1:14" ht="15" customHeight="1">
      <c r="A39" s="795">
        <f t="shared" si="0"/>
        <v>31</v>
      </c>
      <c r="B39" s="813" t="s">
        <v>636</v>
      </c>
      <c r="C39" s="707">
        <v>7</v>
      </c>
      <c r="D39" s="794">
        <f aca="true" t="shared" si="10" ref="D39:D47">C39*727.78</f>
        <v>5094.46</v>
      </c>
      <c r="E39" s="706">
        <v>121</v>
      </c>
      <c r="F39" s="794">
        <f aca="true" t="shared" si="11" ref="F39:F48">E39*330.4</f>
        <v>39978.399999999994</v>
      </c>
      <c r="G39" s="797">
        <f>E39/1000</f>
        <v>0.121</v>
      </c>
      <c r="H39" s="1023">
        <f t="shared" si="8"/>
        <v>45.07285999999999</v>
      </c>
      <c r="I39" s="1023">
        <f t="shared" si="9"/>
        <v>45072.85999999999</v>
      </c>
      <c r="J39" s="799">
        <v>0.121</v>
      </c>
      <c r="K39" s="906">
        <v>45.07285999999999</v>
      </c>
      <c r="L39" s="805"/>
      <c r="M39" s="932"/>
      <c r="N39" s="817" t="s">
        <v>401</v>
      </c>
    </row>
    <row r="40" spans="1:14" ht="15" customHeight="1">
      <c r="A40" s="795">
        <f t="shared" si="0"/>
        <v>32</v>
      </c>
      <c r="B40" s="808" t="s">
        <v>69</v>
      </c>
      <c r="C40" s="707">
        <v>35</v>
      </c>
      <c r="D40" s="794">
        <f t="shared" si="10"/>
        <v>25472.3</v>
      </c>
      <c r="E40" s="867">
        <f>15+20</f>
        <v>35</v>
      </c>
      <c r="F40" s="794">
        <f t="shared" si="11"/>
        <v>11564</v>
      </c>
      <c r="G40" s="797">
        <v>0.035</v>
      </c>
      <c r="H40" s="1023">
        <f t="shared" si="8"/>
        <v>37.036300000000004</v>
      </c>
      <c r="I40" s="1023">
        <f t="shared" si="9"/>
        <v>37036.3</v>
      </c>
      <c r="J40" s="1022">
        <v>0.035</v>
      </c>
      <c r="K40" s="930">
        <v>37.036300000000004</v>
      </c>
      <c r="L40" s="809"/>
      <c r="M40" s="932"/>
      <c r="N40" s="820" t="s">
        <v>752</v>
      </c>
    </row>
    <row r="41" spans="1:14" ht="15" customHeight="1">
      <c r="A41" s="795">
        <f t="shared" si="0"/>
        <v>33</v>
      </c>
      <c r="B41" s="812" t="s">
        <v>576</v>
      </c>
      <c r="C41" s="707">
        <v>50</v>
      </c>
      <c r="D41" s="794">
        <f t="shared" si="10"/>
        <v>36389</v>
      </c>
      <c r="E41" s="706">
        <v>2</v>
      </c>
      <c r="F41" s="794">
        <f t="shared" si="11"/>
        <v>660.8</v>
      </c>
      <c r="G41" s="797">
        <f>(E41+C41)/1000</f>
        <v>0.052</v>
      </c>
      <c r="H41" s="1023">
        <f t="shared" si="8"/>
        <v>37.049800000000005</v>
      </c>
      <c r="I41" s="1023">
        <f t="shared" si="9"/>
        <v>37049.8</v>
      </c>
      <c r="J41" s="1022"/>
      <c r="K41" s="930"/>
      <c r="L41" s="805">
        <v>0.052</v>
      </c>
      <c r="M41" s="932">
        <v>37.049800000000005</v>
      </c>
      <c r="N41" s="817" t="s">
        <v>577</v>
      </c>
    </row>
    <row r="42" spans="1:14" ht="15" customHeight="1">
      <c r="A42" s="795">
        <f t="shared" si="0"/>
        <v>34</v>
      </c>
      <c r="B42" s="807" t="s">
        <v>49</v>
      </c>
      <c r="C42" s="707">
        <v>13</v>
      </c>
      <c r="D42" s="794">
        <f t="shared" si="10"/>
        <v>9461.14</v>
      </c>
      <c r="E42" s="866">
        <v>138</v>
      </c>
      <c r="F42" s="794">
        <f t="shared" si="11"/>
        <v>45595.2</v>
      </c>
      <c r="G42" s="797">
        <f>E42/1000</f>
        <v>0.138</v>
      </c>
      <c r="H42" s="1023">
        <f t="shared" si="8"/>
        <v>55.05634</v>
      </c>
      <c r="I42" s="1023">
        <f t="shared" si="9"/>
        <v>55056.34</v>
      </c>
      <c r="J42" s="1022">
        <v>0.138</v>
      </c>
      <c r="K42" s="930">
        <v>55.05634</v>
      </c>
      <c r="L42" s="934"/>
      <c r="M42" s="933"/>
      <c r="N42" s="820" t="s">
        <v>401</v>
      </c>
    </row>
    <row r="43" spans="1:14" ht="15" customHeight="1">
      <c r="A43" s="795">
        <f t="shared" si="0"/>
        <v>35</v>
      </c>
      <c r="B43" s="812" t="s">
        <v>573</v>
      </c>
      <c r="C43" s="707">
        <v>3</v>
      </c>
      <c r="D43" s="794">
        <f t="shared" si="10"/>
        <v>2183.34</v>
      </c>
      <c r="E43" s="706">
        <v>2</v>
      </c>
      <c r="F43" s="794">
        <f t="shared" si="11"/>
        <v>660.8</v>
      </c>
      <c r="G43" s="797">
        <f>(E43+C43)/1000</f>
        <v>0.005</v>
      </c>
      <c r="H43" s="1023">
        <f t="shared" si="8"/>
        <v>2.8441400000000003</v>
      </c>
      <c r="I43" s="1023">
        <f t="shared" si="9"/>
        <v>2844.1400000000003</v>
      </c>
      <c r="J43" s="1022">
        <v>0.005</v>
      </c>
      <c r="K43" s="930">
        <v>2.8441400000000003</v>
      </c>
      <c r="L43" s="805"/>
      <c r="M43" s="932"/>
      <c r="N43" s="817" t="s">
        <v>574</v>
      </c>
    </row>
    <row r="44" spans="1:14" ht="15" customHeight="1">
      <c r="A44" s="795">
        <f t="shared" si="0"/>
        <v>36</v>
      </c>
      <c r="B44" s="807" t="s">
        <v>70</v>
      </c>
      <c r="C44" s="707">
        <v>5</v>
      </c>
      <c r="D44" s="794">
        <f t="shared" si="10"/>
        <v>3638.8999999999996</v>
      </c>
      <c r="E44" s="866">
        <v>15</v>
      </c>
      <c r="F44" s="794">
        <f t="shared" si="11"/>
        <v>4956</v>
      </c>
      <c r="G44" s="797">
        <f>E44/1000</f>
        <v>0.015</v>
      </c>
      <c r="H44" s="1023">
        <f t="shared" si="8"/>
        <v>8.594899999999999</v>
      </c>
      <c r="I44" s="1023">
        <f t="shared" si="9"/>
        <v>8594.9</v>
      </c>
      <c r="J44" s="1022">
        <v>0.015</v>
      </c>
      <c r="K44" s="930">
        <v>8.594899999999999</v>
      </c>
      <c r="L44" s="934"/>
      <c r="M44" s="933"/>
      <c r="N44" s="820" t="s">
        <v>401</v>
      </c>
    </row>
    <row r="45" spans="1:14" ht="15" customHeight="1">
      <c r="A45" s="795">
        <f t="shared" si="0"/>
        <v>37</v>
      </c>
      <c r="B45" s="807" t="s">
        <v>442</v>
      </c>
      <c r="C45" s="707"/>
      <c r="D45" s="794">
        <f t="shared" si="10"/>
        <v>0</v>
      </c>
      <c r="E45" s="706">
        <v>5</v>
      </c>
      <c r="F45" s="794">
        <f t="shared" si="11"/>
        <v>1652</v>
      </c>
      <c r="G45" s="797">
        <f>E45/1000</f>
        <v>0.005</v>
      </c>
      <c r="H45" s="1023">
        <f t="shared" si="8"/>
        <v>1.652</v>
      </c>
      <c r="I45" s="1023">
        <f t="shared" si="9"/>
        <v>1652</v>
      </c>
      <c r="J45" s="1022">
        <v>0.005</v>
      </c>
      <c r="K45" s="930">
        <v>1.652</v>
      </c>
      <c r="L45" s="805"/>
      <c r="M45" s="932"/>
      <c r="N45" s="806" t="s">
        <v>456</v>
      </c>
    </row>
    <row r="46" spans="1:14" ht="15" customHeight="1">
      <c r="A46" s="795">
        <f t="shared" si="0"/>
        <v>38</v>
      </c>
      <c r="B46" s="807" t="s">
        <v>641</v>
      </c>
      <c r="C46" s="707">
        <v>5</v>
      </c>
      <c r="D46" s="794">
        <f t="shared" si="10"/>
        <v>3638.8999999999996</v>
      </c>
      <c r="E46" s="706">
        <v>5</v>
      </c>
      <c r="F46" s="794">
        <f t="shared" si="11"/>
        <v>1652</v>
      </c>
      <c r="G46" s="797">
        <f>(C46)/1000</f>
        <v>0.005</v>
      </c>
      <c r="H46" s="1023">
        <f t="shared" si="8"/>
        <v>5.2909</v>
      </c>
      <c r="I46" s="1023">
        <f t="shared" si="9"/>
        <v>5290.9</v>
      </c>
      <c r="J46" s="1022">
        <v>0.005</v>
      </c>
      <c r="K46" s="930">
        <v>5.2909</v>
      </c>
      <c r="L46" s="805"/>
      <c r="M46" s="932"/>
      <c r="N46" s="806" t="s">
        <v>401</v>
      </c>
    </row>
    <row r="47" spans="1:14" ht="15" customHeight="1">
      <c r="A47" s="795">
        <f t="shared" si="0"/>
        <v>39</v>
      </c>
      <c r="B47" s="807" t="s">
        <v>642</v>
      </c>
      <c r="C47" s="707">
        <v>15</v>
      </c>
      <c r="D47" s="794">
        <f t="shared" si="10"/>
        <v>10916.699999999999</v>
      </c>
      <c r="E47" s="706">
        <v>15</v>
      </c>
      <c r="F47" s="794">
        <f t="shared" si="11"/>
        <v>4956</v>
      </c>
      <c r="G47" s="797">
        <f>(C47)/1000</f>
        <v>0.015</v>
      </c>
      <c r="H47" s="1023">
        <f t="shared" si="8"/>
        <v>15.872699999999998</v>
      </c>
      <c r="I47" s="1023">
        <f t="shared" si="9"/>
        <v>15872.699999999999</v>
      </c>
      <c r="J47" s="1022">
        <v>0.015</v>
      </c>
      <c r="K47" s="930">
        <v>15.872699999999998</v>
      </c>
      <c r="L47" s="809"/>
      <c r="M47" s="932"/>
      <c r="N47" s="806" t="s">
        <v>401</v>
      </c>
    </row>
    <row r="48" spans="1:14" ht="15" customHeight="1">
      <c r="A48" s="795">
        <f t="shared" si="0"/>
        <v>40</v>
      </c>
      <c r="B48" s="807" t="s">
        <v>501</v>
      </c>
      <c r="C48" s="707">
        <v>1</v>
      </c>
      <c r="D48" s="794">
        <f>C48*870.84</f>
        <v>870.84</v>
      </c>
      <c r="E48" s="706">
        <v>154</v>
      </c>
      <c r="F48" s="794">
        <f t="shared" si="11"/>
        <v>50881.6</v>
      </c>
      <c r="G48" s="797">
        <f>E48/1000</f>
        <v>0.154</v>
      </c>
      <c r="H48" s="1023">
        <f t="shared" si="8"/>
        <v>51.75243999999999</v>
      </c>
      <c r="I48" s="1023">
        <f t="shared" si="9"/>
        <v>51752.439999999995</v>
      </c>
      <c r="J48" s="1022"/>
      <c r="K48" s="930"/>
      <c r="L48" s="805">
        <v>0.154</v>
      </c>
      <c r="M48" s="932">
        <v>51.75243999999999</v>
      </c>
      <c r="N48" s="806" t="s">
        <v>757</v>
      </c>
    </row>
    <row r="49" spans="1:14" ht="15" customHeight="1">
      <c r="A49" s="795">
        <f t="shared" si="0"/>
        <v>41</v>
      </c>
      <c r="B49" s="813" t="s">
        <v>736</v>
      </c>
      <c r="C49" s="707">
        <v>6</v>
      </c>
      <c r="D49" s="794">
        <f>C49*727.78</f>
        <v>4366.68</v>
      </c>
      <c r="E49" s="706"/>
      <c r="F49" s="794"/>
      <c r="G49" s="797">
        <f>(E49+C49)/1000</f>
        <v>0.006</v>
      </c>
      <c r="H49" s="1023">
        <f t="shared" si="8"/>
        <v>4.366680000000001</v>
      </c>
      <c r="I49" s="1023">
        <f t="shared" si="9"/>
        <v>4366.68</v>
      </c>
      <c r="J49" s="1022">
        <v>0.006</v>
      </c>
      <c r="K49" s="930">
        <v>4.366680000000001</v>
      </c>
      <c r="L49" s="805"/>
      <c r="M49" s="932"/>
      <c r="N49" s="817" t="s">
        <v>737</v>
      </c>
    </row>
    <row r="50" spans="1:14" ht="15" customHeight="1">
      <c r="A50" s="795">
        <f t="shared" si="0"/>
        <v>42</v>
      </c>
      <c r="B50" s="807" t="s">
        <v>521</v>
      </c>
      <c r="C50" s="707">
        <v>10</v>
      </c>
      <c r="D50" s="794">
        <f>C50*727.78</f>
        <v>7277.799999999999</v>
      </c>
      <c r="E50" s="706">
        <v>168</v>
      </c>
      <c r="F50" s="794">
        <f>E50*330.4</f>
        <v>55507.2</v>
      </c>
      <c r="G50" s="797">
        <f>E50/1000+L50</f>
        <v>0.193</v>
      </c>
      <c r="H50" s="1023">
        <f>I50/1000+M50</f>
        <v>80.9795</v>
      </c>
      <c r="I50" s="1023">
        <f t="shared" si="9"/>
        <v>62785</v>
      </c>
      <c r="J50" s="1022">
        <v>0.168</v>
      </c>
      <c r="K50" s="930">
        <v>62.785</v>
      </c>
      <c r="L50" s="805">
        <v>0.025</v>
      </c>
      <c r="M50" s="932">
        <v>18.1945</v>
      </c>
      <c r="N50" s="806" t="s">
        <v>502</v>
      </c>
    </row>
    <row r="51" spans="1:14" ht="15" customHeight="1">
      <c r="A51" s="795">
        <f t="shared" si="0"/>
        <v>43</v>
      </c>
      <c r="B51" s="812" t="s">
        <v>71</v>
      </c>
      <c r="C51" s="707">
        <v>3</v>
      </c>
      <c r="D51" s="794">
        <f>C51*727.78</f>
        <v>2183.34</v>
      </c>
      <c r="E51" s="706">
        <v>24</v>
      </c>
      <c r="F51" s="794">
        <f>E51*330.4</f>
        <v>7929.599999999999</v>
      </c>
      <c r="G51" s="797">
        <f>E51/1000</f>
        <v>0.024</v>
      </c>
      <c r="H51" s="1023">
        <f>I51/1000</f>
        <v>10.112939999999998</v>
      </c>
      <c r="I51" s="1023">
        <f t="shared" si="9"/>
        <v>10112.939999999999</v>
      </c>
      <c r="J51" s="1022">
        <v>0.024</v>
      </c>
      <c r="K51" s="930">
        <v>10.112939999999998</v>
      </c>
      <c r="L51" s="805"/>
      <c r="M51" s="932"/>
      <c r="N51" s="806" t="s">
        <v>401</v>
      </c>
    </row>
    <row r="52" spans="1:14" ht="15" customHeight="1">
      <c r="A52" s="795">
        <f t="shared" si="0"/>
        <v>44</v>
      </c>
      <c r="B52" s="818" t="s">
        <v>488</v>
      </c>
      <c r="C52" s="707">
        <v>2</v>
      </c>
      <c r="D52" s="794">
        <f aca="true" t="shared" si="12" ref="D52:D59">C52*727.78</f>
        <v>1455.56</v>
      </c>
      <c r="E52" s="706">
        <v>2</v>
      </c>
      <c r="F52" s="794">
        <f>E52*330.4</f>
        <v>660.8</v>
      </c>
      <c r="G52" s="797">
        <f>E52/1000</f>
        <v>0.002</v>
      </c>
      <c r="H52" s="1023">
        <f t="shared" si="1"/>
        <v>2.11636</v>
      </c>
      <c r="I52" s="1023">
        <f t="shared" si="2"/>
        <v>2116.3599999999997</v>
      </c>
      <c r="J52" s="1022">
        <v>0.002</v>
      </c>
      <c r="K52" s="930">
        <v>2.11636</v>
      </c>
      <c r="L52" s="805"/>
      <c r="M52" s="932"/>
      <c r="N52" s="806" t="s">
        <v>489</v>
      </c>
    </row>
    <row r="53" spans="1:14" ht="15" customHeight="1">
      <c r="A53" s="795">
        <f t="shared" si="0"/>
        <v>45</v>
      </c>
      <c r="B53" s="818" t="s">
        <v>546</v>
      </c>
      <c r="C53" s="707">
        <v>16</v>
      </c>
      <c r="D53" s="794">
        <f t="shared" si="12"/>
        <v>11644.48</v>
      </c>
      <c r="E53" s="706"/>
      <c r="F53" s="794"/>
      <c r="G53" s="797">
        <f>C53/1000</f>
        <v>0.016</v>
      </c>
      <c r="H53" s="1023">
        <f>I53/1000</f>
        <v>11.64448</v>
      </c>
      <c r="I53" s="799">
        <f>D53</f>
        <v>11644.48</v>
      </c>
      <c r="J53" s="1022"/>
      <c r="K53" s="930"/>
      <c r="L53" s="805">
        <v>0.016</v>
      </c>
      <c r="M53" s="932">
        <v>11.64448</v>
      </c>
      <c r="N53" s="806"/>
    </row>
    <row r="54" spans="1:14" ht="15" customHeight="1">
      <c r="A54" s="795">
        <f t="shared" si="0"/>
        <v>46</v>
      </c>
      <c r="B54" s="813" t="s">
        <v>732</v>
      </c>
      <c r="C54" s="707">
        <v>30</v>
      </c>
      <c r="D54" s="794">
        <f t="shared" si="12"/>
        <v>21833.399999999998</v>
      </c>
      <c r="E54" s="706"/>
      <c r="F54" s="794"/>
      <c r="G54" s="797">
        <f>(E54+C54)/1000</f>
        <v>0.03</v>
      </c>
      <c r="H54" s="1023">
        <f t="shared" si="1"/>
        <v>21.833399999999997</v>
      </c>
      <c r="I54" s="1023">
        <f t="shared" si="2"/>
        <v>21833.399999999998</v>
      </c>
      <c r="J54" s="799"/>
      <c r="K54" s="906"/>
      <c r="L54" s="805">
        <v>0.03</v>
      </c>
      <c r="M54" s="932">
        <v>21.833399999999997</v>
      </c>
      <c r="N54" s="817" t="s">
        <v>733</v>
      </c>
    </row>
    <row r="55" spans="1:14" ht="15" customHeight="1">
      <c r="A55" s="795">
        <f t="shared" si="0"/>
        <v>47</v>
      </c>
      <c r="B55" s="813" t="s">
        <v>731</v>
      </c>
      <c r="C55" s="707">
        <v>2</v>
      </c>
      <c r="D55" s="794">
        <f t="shared" si="12"/>
        <v>1455.56</v>
      </c>
      <c r="E55" s="706"/>
      <c r="F55" s="794"/>
      <c r="G55" s="797">
        <f>(E55+C55)/1000</f>
        <v>0.002</v>
      </c>
      <c r="H55" s="1023">
        <f t="shared" si="1"/>
        <v>1.45556</v>
      </c>
      <c r="I55" s="1023">
        <f t="shared" si="2"/>
        <v>1455.56</v>
      </c>
      <c r="J55" s="1022">
        <v>0.002</v>
      </c>
      <c r="K55" s="930">
        <v>1.45556</v>
      </c>
      <c r="L55" s="805"/>
      <c r="M55" s="932"/>
      <c r="N55" s="817" t="s">
        <v>401</v>
      </c>
    </row>
    <row r="56" spans="1:14" ht="15" customHeight="1">
      <c r="A56" s="795">
        <f t="shared" si="0"/>
        <v>48</v>
      </c>
      <c r="B56" s="812" t="s">
        <v>20</v>
      </c>
      <c r="C56" s="707"/>
      <c r="D56" s="794">
        <f t="shared" si="12"/>
        <v>0</v>
      </c>
      <c r="E56" s="706">
        <v>4</v>
      </c>
      <c r="F56" s="794">
        <f>E56*330.4</f>
        <v>1321.6</v>
      </c>
      <c r="G56" s="797">
        <f aca="true" t="shared" si="13" ref="G56:G62">E56/1000</f>
        <v>0.004</v>
      </c>
      <c r="H56" s="1023">
        <f t="shared" si="1"/>
        <v>1.3215999999999999</v>
      </c>
      <c r="I56" s="1023">
        <f t="shared" si="2"/>
        <v>1321.6</v>
      </c>
      <c r="J56" s="1022">
        <v>0.004</v>
      </c>
      <c r="K56" s="930">
        <v>1.3215999999999999</v>
      </c>
      <c r="L56" s="805"/>
      <c r="M56" s="932"/>
      <c r="N56" s="811" t="s">
        <v>401</v>
      </c>
    </row>
    <row r="57" spans="1:14" ht="15" customHeight="1">
      <c r="A57" s="795">
        <f t="shared" si="0"/>
        <v>49</v>
      </c>
      <c r="B57" s="812" t="s">
        <v>22</v>
      </c>
      <c r="C57" s="707">
        <v>5</v>
      </c>
      <c r="D57" s="794">
        <f t="shared" si="12"/>
        <v>3638.8999999999996</v>
      </c>
      <c r="E57" s="706"/>
      <c r="F57" s="794"/>
      <c r="G57" s="797">
        <v>0.005</v>
      </c>
      <c r="H57" s="1023">
        <v>3.6389</v>
      </c>
      <c r="I57" s="1023">
        <v>3638.9</v>
      </c>
      <c r="J57" s="1022">
        <v>0.005</v>
      </c>
      <c r="K57" s="930">
        <v>3.6389</v>
      </c>
      <c r="L57" s="805"/>
      <c r="M57" s="932"/>
      <c r="N57" s="811"/>
    </row>
    <row r="58" spans="1:14" ht="15" customHeight="1">
      <c r="A58" s="795">
        <f t="shared" si="0"/>
        <v>50</v>
      </c>
      <c r="B58" s="808" t="s">
        <v>526</v>
      </c>
      <c r="C58" s="707">
        <v>5</v>
      </c>
      <c r="D58" s="794">
        <f t="shared" si="12"/>
        <v>3638.8999999999996</v>
      </c>
      <c r="E58" s="706">
        <v>140</v>
      </c>
      <c r="F58" s="794">
        <f>E58*330.4</f>
        <v>46256</v>
      </c>
      <c r="G58" s="797">
        <f t="shared" si="13"/>
        <v>0.14</v>
      </c>
      <c r="H58" s="1023">
        <f t="shared" si="1"/>
        <v>49.8949</v>
      </c>
      <c r="I58" s="1023">
        <f t="shared" si="2"/>
        <v>49894.9</v>
      </c>
      <c r="J58" s="1022">
        <v>0.14</v>
      </c>
      <c r="K58" s="930">
        <v>49.8949</v>
      </c>
      <c r="L58" s="809"/>
      <c r="M58" s="932"/>
      <c r="N58" s="810" t="s">
        <v>471</v>
      </c>
    </row>
    <row r="59" spans="1:14" ht="15" customHeight="1">
      <c r="A59" s="795">
        <f t="shared" si="0"/>
        <v>51</v>
      </c>
      <c r="B59" s="808" t="s">
        <v>532</v>
      </c>
      <c r="C59" s="707">
        <v>7</v>
      </c>
      <c r="D59" s="794">
        <f t="shared" si="12"/>
        <v>5094.46</v>
      </c>
      <c r="E59" s="706">
        <v>140</v>
      </c>
      <c r="F59" s="794">
        <f>E59*330.4</f>
        <v>46256</v>
      </c>
      <c r="G59" s="797">
        <f t="shared" si="13"/>
        <v>0.14</v>
      </c>
      <c r="H59" s="1023">
        <f t="shared" si="1"/>
        <v>51.35046</v>
      </c>
      <c r="I59" s="1023">
        <f t="shared" si="2"/>
        <v>51350.46</v>
      </c>
      <c r="J59" s="1022">
        <v>0.14</v>
      </c>
      <c r="K59" s="930">
        <v>51.35046</v>
      </c>
      <c r="L59" s="805"/>
      <c r="M59" s="932"/>
      <c r="N59" s="810" t="s">
        <v>471</v>
      </c>
    </row>
    <row r="60" spans="1:14" ht="15" customHeight="1">
      <c r="A60" s="795">
        <f t="shared" si="0"/>
        <v>52</v>
      </c>
      <c r="B60" s="807" t="s">
        <v>462</v>
      </c>
      <c r="C60" s="707">
        <v>5</v>
      </c>
      <c r="D60" s="794">
        <f>C60*870.84</f>
        <v>4354.2</v>
      </c>
      <c r="E60" s="706">
        <v>15</v>
      </c>
      <c r="F60" s="794">
        <f>E60*359.9</f>
        <v>5398.5</v>
      </c>
      <c r="G60" s="797">
        <f t="shared" si="13"/>
        <v>0.015</v>
      </c>
      <c r="H60" s="1023">
        <f t="shared" si="1"/>
        <v>9.7527</v>
      </c>
      <c r="I60" s="1023">
        <f t="shared" si="2"/>
        <v>9752.7</v>
      </c>
      <c r="J60" s="1022"/>
      <c r="K60" s="930"/>
      <c r="L60" s="805">
        <v>0.015</v>
      </c>
      <c r="M60" s="932">
        <v>9.7527</v>
      </c>
      <c r="N60" s="806" t="s">
        <v>463</v>
      </c>
    </row>
    <row r="61" spans="1:14" ht="15" customHeight="1">
      <c r="A61" s="795">
        <f t="shared" si="0"/>
        <v>53</v>
      </c>
      <c r="B61" s="807" t="s">
        <v>380</v>
      </c>
      <c r="C61" s="707">
        <v>1</v>
      </c>
      <c r="D61" s="794">
        <f>C61*727.78</f>
        <v>727.78</v>
      </c>
      <c r="E61" s="706">
        <v>1</v>
      </c>
      <c r="F61" s="794">
        <f>E61*330.4</f>
        <v>330.4</v>
      </c>
      <c r="G61" s="797">
        <f t="shared" si="13"/>
        <v>0.001</v>
      </c>
      <c r="H61" s="1023">
        <f t="shared" si="1"/>
        <v>1.05818</v>
      </c>
      <c r="I61" s="1023">
        <f t="shared" si="2"/>
        <v>1058.1799999999998</v>
      </c>
      <c r="J61" s="1022">
        <v>0.001</v>
      </c>
      <c r="K61" s="930">
        <v>1.05818</v>
      </c>
      <c r="L61" s="805"/>
      <c r="M61" s="932"/>
      <c r="N61" s="806" t="s">
        <v>401</v>
      </c>
    </row>
    <row r="62" spans="1:14" ht="15" customHeight="1" thickBot="1">
      <c r="A62" s="795">
        <f t="shared" si="0"/>
        <v>54</v>
      </c>
      <c r="B62" s="807" t="s">
        <v>500</v>
      </c>
      <c r="C62" s="707">
        <v>10</v>
      </c>
      <c r="D62" s="794">
        <f>C62*727.78</f>
        <v>7277.799999999999</v>
      </c>
      <c r="E62" s="706">
        <v>10</v>
      </c>
      <c r="F62" s="794">
        <f>E62*330.4</f>
        <v>3304</v>
      </c>
      <c r="G62" s="797">
        <f t="shared" si="13"/>
        <v>0.01</v>
      </c>
      <c r="H62" s="1023">
        <f t="shared" si="1"/>
        <v>10.5818</v>
      </c>
      <c r="I62" s="1023">
        <f t="shared" si="2"/>
        <v>10581.8</v>
      </c>
      <c r="J62" s="1022">
        <v>0.01</v>
      </c>
      <c r="K62" s="930">
        <v>10.5818</v>
      </c>
      <c r="L62" s="805"/>
      <c r="M62" s="932"/>
      <c r="N62" s="806" t="s">
        <v>471</v>
      </c>
    </row>
    <row r="63" spans="1:14" ht="15" customHeight="1" thickBot="1">
      <c r="A63" s="821"/>
      <c r="B63" s="935" t="s">
        <v>72</v>
      </c>
      <c r="C63" s="936">
        <f aca="true" t="shared" si="14" ref="C63:L63">SUM(C9:C62)</f>
        <v>582.2</v>
      </c>
      <c r="D63" s="936">
        <f t="shared" si="14"/>
        <v>435945.1460000002</v>
      </c>
      <c r="E63" s="936">
        <f t="shared" si="14"/>
        <v>2156.6</v>
      </c>
      <c r="F63" s="936">
        <f t="shared" si="14"/>
        <v>729653.59</v>
      </c>
      <c r="G63" s="1027">
        <f t="shared" si="14"/>
        <v>2.5215999999999985</v>
      </c>
      <c r="H63" s="936">
        <f>SUM(H9:H62)</f>
        <v>1183.793236</v>
      </c>
      <c r="I63" s="1024">
        <f t="shared" si="14"/>
        <v>1165598.7359999998</v>
      </c>
      <c r="J63" s="937">
        <f>SUM(J9:J62)</f>
        <v>1.5559999999999994</v>
      </c>
      <c r="K63" s="937">
        <f>SUM(K9:K62)</f>
        <v>688.568318</v>
      </c>
      <c r="L63" s="937">
        <f t="shared" si="14"/>
        <v>0.9656000000000001</v>
      </c>
      <c r="M63" s="937">
        <f>SUM(M9:M62)</f>
        <v>495.22491799999995</v>
      </c>
      <c r="N63" s="938"/>
    </row>
    <row r="64" spans="1:14" ht="15" customHeight="1">
      <c r="A64" s="822"/>
      <c r="B64" s="823"/>
      <c r="C64" s="939"/>
      <c r="D64" s="940"/>
      <c r="E64" s="939"/>
      <c r="F64" s="824"/>
      <c r="G64" s="824"/>
      <c r="H64" s="824"/>
      <c r="I64" s="825"/>
      <c r="J64" s="824"/>
      <c r="K64" s="824"/>
      <c r="L64" s="824"/>
      <c r="M64" s="824"/>
      <c r="N64" s="824"/>
    </row>
    <row r="65" spans="1:14" ht="15" customHeight="1">
      <c r="A65" s="826"/>
      <c r="B65" s="827" t="s">
        <v>73</v>
      </c>
      <c r="C65" s="828"/>
      <c r="D65" s="827"/>
      <c r="E65" s="828" t="s">
        <v>74</v>
      </c>
      <c r="F65" s="828"/>
      <c r="G65" s="829"/>
      <c r="H65" s="829"/>
      <c r="I65" s="830"/>
      <c r="J65" s="828" t="s">
        <v>356</v>
      </c>
      <c r="K65" s="828"/>
      <c r="L65" s="828"/>
      <c r="M65" s="831"/>
      <c r="N65" s="831"/>
    </row>
    <row r="66" spans="1:14" ht="15" customHeight="1">
      <c r="A66" s="826"/>
      <c r="B66" s="827"/>
      <c r="C66" s="828"/>
      <c r="D66" s="827"/>
      <c r="E66" s="828"/>
      <c r="F66" s="828"/>
      <c r="G66" s="829"/>
      <c r="H66" s="829"/>
      <c r="I66" s="830"/>
      <c r="J66" s="828"/>
      <c r="K66" s="828"/>
      <c r="L66" s="828"/>
      <c r="M66" s="831"/>
      <c r="N66" s="831"/>
    </row>
    <row r="67" spans="1:14" ht="15" customHeight="1">
      <c r="A67" s="826"/>
      <c r="B67" s="827"/>
      <c r="C67" s="828"/>
      <c r="D67" s="827"/>
      <c r="E67" s="828"/>
      <c r="F67" s="828"/>
      <c r="G67" s="829"/>
      <c r="H67" s="829"/>
      <c r="I67" s="830"/>
      <c r="J67" s="828"/>
      <c r="K67" s="828"/>
      <c r="L67" s="828"/>
      <c r="M67" s="831"/>
      <c r="N67" s="831"/>
    </row>
  </sheetData>
  <sheetProtection/>
  <autoFilter ref="A8:M63"/>
  <mergeCells count="9">
    <mergeCell ref="L6:M6"/>
    <mergeCell ref="N6:N7"/>
    <mergeCell ref="B5:M5"/>
    <mergeCell ref="A6:A7"/>
    <mergeCell ref="B6:B7"/>
    <mergeCell ref="C6:D6"/>
    <mergeCell ref="E6:F6"/>
    <mergeCell ref="G6:I6"/>
    <mergeCell ref="J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49"/>
  <sheetViews>
    <sheetView zoomScalePageLayoutView="0" workbookViewId="0" topLeftCell="A16">
      <selection activeCell="Z55" sqref="Z55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5.75390625" style="0" customWidth="1"/>
    <col min="4" max="4" width="6.25390625" style="0" customWidth="1"/>
    <col min="5" max="5" width="6.875" style="0" customWidth="1"/>
    <col min="6" max="6" width="11.625" style="0" customWidth="1"/>
    <col min="7" max="7" width="8.875" style="0" hidden="1" customWidth="1"/>
    <col min="8" max="8" width="7.875" style="0" hidden="1" customWidth="1"/>
    <col min="9" max="9" width="6.75390625" style="0" customWidth="1"/>
    <col min="10" max="10" width="7.75390625" style="0" customWidth="1"/>
    <col min="11" max="11" width="9.625" style="0" customWidth="1"/>
    <col min="12" max="12" width="6.125" style="0" customWidth="1"/>
    <col min="13" max="13" width="7.375" style="0" customWidth="1"/>
    <col min="14" max="14" width="8.875" style="0" customWidth="1"/>
    <col min="15" max="15" width="7.75390625" style="0" customWidth="1"/>
    <col min="16" max="16" width="6.875" style="0" customWidth="1"/>
    <col min="17" max="17" width="9.125" style="0" customWidth="1"/>
    <col min="18" max="18" width="7.00390625" style="0" customWidth="1"/>
    <col min="19" max="19" width="7.625" style="0" customWidth="1"/>
    <col min="20" max="20" width="9.125" style="0" customWidth="1"/>
    <col min="21" max="22" width="9.125" style="0" hidden="1" customWidth="1"/>
    <col min="23" max="23" width="9.125" style="6" hidden="1" customWidth="1"/>
    <col min="24" max="25" width="9.125" style="0" customWidth="1"/>
  </cols>
  <sheetData>
    <row r="1" spans="1:20" ht="18" customHeight="1">
      <c r="A1" s="11"/>
      <c r="B1" s="11"/>
      <c r="C1" s="11"/>
      <c r="D1" s="11"/>
      <c r="E1" s="11"/>
      <c r="F1" s="12"/>
      <c r="G1" s="12"/>
      <c r="H1" s="12"/>
      <c r="I1" s="11"/>
      <c r="J1" s="11"/>
      <c r="K1" s="11"/>
      <c r="L1" s="11"/>
      <c r="M1" s="8"/>
      <c r="N1" s="8"/>
      <c r="O1" s="8"/>
      <c r="P1" s="8"/>
      <c r="Q1" s="8"/>
      <c r="R1" s="8"/>
      <c r="S1" s="8" t="s">
        <v>832</v>
      </c>
      <c r="T1" s="11"/>
    </row>
    <row r="2" spans="1:20" ht="14.25" customHeight="1">
      <c r="A2" s="11"/>
      <c r="B2" s="11"/>
      <c r="C2" s="11"/>
      <c r="D2" s="11"/>
      <c r="E2" s="11"/>
      <c r="F2" s="12"/>
      <c r="G2" s="12"/>
      <c r="H2" s="12"/>
      <c r="I2" s="11"/>
      <c r="J2" s="11"/>
      <c r="K2" s="11"/>
      <c r="L2" s="11"/>
      <c r="M2" s="8"/>
      <c r="N2" s="8"/>
      <c r="O2" s="8"/>
      <c r="P2" s="8"/>
      <c r="Q2" s="8"/>
      <c r="R2" s="8"/>
      <c r="S2" s="8" t="s">
        <v>53</v>
      </c>
      <c r="T2" s="11"/>
    </row>
    <row r="3" spans="1:20" ht="15" customHeight="1">
      <c r="A3" s="11"/>
      <c r="B3" s="11"/>
      <c r="C3" s="11"/>
      <c r="D3" s="11"/>
      <c r="E3" s="11"/>
      <c r="F3" s="12"/>
      <c r="G3" s="12"/>
      <c r="H3" s="12"/>
      <c r="I3" s="11"/>
      <c r="J3" s="11"/>
      <c r="K3" s="11"/>
      <c r="L3" s="11"/>
      <c r="M3" s="8"/>
      <c r="N3" s="8"/>
      <c r="O3" s="8"/>
      <c r="P3" s="8"/>
      <c r="Q3" s="8"/>
      <c r="R3" s="8"/>
      <c r="S3" s="8" t="s">
        <v>35</v>
      </c>
      <c r="T3" s="11"/>
    </row>
    <row r="4" spans="1:20" ht="15" customHeight="1">
      <c r="A4" s="11"/>
      <c r="B4" s="11"/>
      <c r="C4" s="11"/>
      <c r="D4" s="11"/>
      <c r="E4" s="11"/>
      <c r="F4" s="12"/>
      <c r="G4" s="12"/>
      <c r="H4" s="12"/>
      <c r="I4" s="11"/>
      <c r="J4" s="11"/>
      <c r="K4" s="11"/>
      <c r="L4" s="11"/>
      <c r="M4" s="8"/>
      <c r="N4" s="8"/>
      <c r="O4" s="8"/>
      <c r="P4" s="8"/>
      <c r="Q4" s="8"/>
      <c r="R4" s="8"/>
      <c r="S4" s="8" t="s">
        <v>758</v>
      </c>
      <c r="T4" s="11"/>
    </row>
    <row r="5" spans="1:20" ht="10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5.75" customHeight="1">
      <c r="A6" s="1660" t="s">
        <v>75</v>
      </c>
      <c r="B6" s="1660"/>
      <c r="C6" s="1660"/>
      <c r="D6" s="1660"/>
      <c r="E6" s="1660"/>
      <c r="F6" s="1660"/>
      <c r="G6" s="1660"/>
      <c r="H6" s="1660"/>
      <c r="I6" s="1660"/>
      <c r="J6" s="1660"/>
      <c r="K6" s="1660"/>
      <c r="L6" s="1660"/>
      <c r="M6" s="1660"/>
      <c r="N6" s="1660"/>
      <c r="O6" s="1660"/>
      <c r="P6" s="1660"/>
      <c r="Q6" s="1660"/>
      <c r="R6" s="1660"/>
      <c r="S6" s="1660"/>
      <c r="T6" s="1660"/>
    </row>
    <row r="7" spans="1:20" ht="18.75" customHeight="1" thickBot="1">
      <c r="A7" s="1661" t="s">
        <v>650</v>
      </c>
      <c r="B7" s="1661"/>
      <c r="C7" s="1661"/>
      <c r="D7" s="1661"/>
      <c r="E7" s="1661"/>
      <c r="F7" s="1661"/>
      <c r="G7" s="1661"/>
      <c r="H7" s="1661"/>
      <c r="I7" s="1661"/>
      <c r="J7" s="1661"/>
      <c r="K7" s="1661"/>
      <c r="L7" s="1661"/>
      <c r="M7" s="1661"/>
      <c r="N7" s="1661"/>
      <c r="O7" s="1661"/>
      <c r="P7" s="1661"/>
      <c r="Q7" s="1661"/>
      <c r="R7" s="1661"/>
      <c r="S7" s="1661"/>
      <c r="T7" s="1661"/>
    </row>
    <row r="8" spans="1:22" ht="12" customHeight="1" thickBot="1">
      <c r="A8" s="1662" t="s">
        <v>76</v>
      </c>
      <c r="B8" s="1572" t="s">
        <v>3</v>
      </c>
      <c r="C8" s="1665" t="s">
        <v>77</v>
      </c>
      <c r="D8" s="1651" t="s">
        <v>6</v>
      </c>
      <c r="E8" s="1652"/>
      <c r="F8" s="1652"/>
      <c r="G8" s="1652"/>
      <c r="H8" s="1653"/>
      <c r="I8" s="1651" t="s">
        <v>78</v>
      </c>
      <c r="J8" s="1652"/>
      <c r="K8" s="1653"/>
      <c r="L8" s="1651" t="s">
        <v>79</v>
      </c>
      <c r="M8" s="1652"/>
      <c r="N8" s="1653"/>
      <c r="O8" s="1651" t="s">
        <v>80</v>
      </c>
      <c r="P8" s="1652"/>
      <c r="Q8" s="1653"/>
      <c r="R8" s="1651" t="s">
        <v>81</v>
      </c>
      <c r="S8" s="1652"/>
      <c r="T8" s="1653"/>
      <c r="U8" s="899"/>
      <c r="V8" s="900"/>
    </row>
    <row r="9" spans="1:22" ht="10.5" customHeight="1" thickBot="1">
      <c r="A9" s="1663"/>
      <c r="B9" s="1659"/>
      <c r="C9" s="1666"/>
      <c r="D9" s="1654" t="s">
        <v>82</v>
      </c>
      <c r="E9" s="1655"/>
      <c r="F9" s="143" t="s">
        <v>83</v>
      </c>
      <c r="G9" s="1651" t="s">
        <v>84</v>
      </c>
      <c r="H9" s="1653"/>
      <c r="I9" s="1654" t="s">
        <v>85</v>
      </c>
      <c r="J9" s="1655"/>
      <c r="K9" s="1572" t="s">
        <v>86</v>
      </c>
      <c r="L9" s="1654" t="s">
        <v>87</v>
      </c>
      <c r="M9" s="1655"/>
      <c r="N9" s="1572" t="s">
        <v>86</v>
      </c>
      <c r="O9" s="1654" t="s">
        <v>87</v>
      </c>
      <c r="P9" s="1655"/>
      <c r="Q9" s="1572" t="s">
        <v>86</v>
      </c>
      <c r="R9" s="1654" t="s">
        <v>87</v>
      </c>
      <c r="S9" s="1655"/>
      <c r="T9" s="1572" t="s">
        <v>86</v>
      </c>
      <c r="U9" s="901"/>
      <c r="V9" s="902"/>
    </row>
    <row r="10" spans="1:22" ht="9.75" customHeight="1" thickBot="1">
      <c r="A10" s="1663"/>
      <c r="B10" s="1659"/>
      <c r="C10" s="1666"/>
      <c r="D10" s="1656"/>
      <c r="E10" s="1657"/>
      <c r="F10" s="138" t="s">
        <v>6</v>
      </c>
      <c r="G10" s="55" t="s">
        <v>88</v>
      </c>
      <c r="H10" s="99" t="s">
        <v>89</v>
      </c>
      <c r="I10" s="1656"/>
      <c r="J10" s="1657"/>
      <c r="K10" s="1573"/>
      <c r="L10" s="1656"/>
      <c r="M10" s="1657"/>
      <c r="N10" s="1573"/>
      <c r="O10" s="1656"/>
      <c r="P10" s="1657"/>
      <c r="Q10" s="1573"/>
      <c r="R10" s="1656"/>
      <c r="S10" s="1657"/>
      <c r="T10" s="1573"/>
      <c r="U10" s="901"/>
      <c r="V10" s="902"/>
    </row>
    <row r="11" spans="1:22" ht="13.5" thickBot="1">
      <c r="A11" s="1664"/>
      <c r="B11" s="1573"/>
      <c r="C11" s="1667"/>
      <c r="D11" s="140" t="s">
        <v>90</v>
      </c>
      <c r="E11" s="140" t="s">
        <v>91</v>
      </c>
      <c r="F11" s="144" t="s">
        <v>92</v>
      </c>
      <c r="G11" s="144" t="s">
        <v>93</v>
      </c>
      <c r="H11" s="579" t="s">
        <v>92</v>
      </c>
      <c r="I11" s="99" t="s">
        <v>90</v>
      </c>
      <c r="J11" s="140" t="s">
        <v>91</v>
      </c>
      <c r="K11" s="102" t="s">
        <v>94</v>
      </c>
      <c r="L11" s="138" t="s">
        <v>90</v>
      </c>
      <c r="M11" s="140" t="s">
        <v>91</v>
      </c>
      <c r="N11" s="139" t="s">
        <v>94</v>
      </c>
      <c r="O11" s="140" t="s">
        <v>90</v>
      </c>
      <c r="P11" s="140" t="s">
        <v>91</v>
      </c>
      <c r="Q11" s="83" t="s">
        <v>94</v>
      </c>
      <c r="R11" s="138" t="s">
        <v>90</v>
      </c>
      <c r="S11" s="140" t="s">
        <v>91</v>
      </c>
      <c r="T11" s="83" t="s">
        <v>94</v>
      </c>
      <c r="U11" s="903"/>
      <c r="V11" s="904"/>
    </row>
    <row r="12" spans="1:22" ht="11.25" customHeight="1" thickBot="1">
      <c r="A12" s="942"/>
      <c r="B12" s="140"/>
      <c r="C12" s="943"/>
      <c r="D12" s="99"/>
      <c r="E12" s="55"/>
      <c r="F12" s="138"/>
      <c r="G12" s="138"/>
      <c r="H12" s="55"/>
      <c r="I12" s="99"/>
      <c r="J12" s="55"/>
      <c r="K12" s="102"/>
      <c r="L12" s="55"/>
      <c r="M12" s="55"/>
      <c r="N12" s="139"/>
      <c r="O12" s="99"/>
      <c r="P12" s="55"/>
      <c r="Q12" s="83"/>
      <c r="R12" s="55"/>
      <c r="S12" s="55"/>
      <c r="T12" s="83"/>
      <c r="U12" s="5"/>
      <c r="V12" s="905"/>
    </row>
    <row r="13" spans="1:23" ht="15" customHeight="1">
      <c r="A13" s="581">
        <v>1</v>
      </c>
      <c r="B13" s="872" t="s">
        <v>25</v>
      </c>
      <c r="C13" s="1125">
        <v>5</v>
      </c>
      <c r="D13" s="1126">
        <v>5</v>
      </c>
      <c r="E13" s="601">
        <v>0.569</v>
      </c>
      <c r="F13" s="679">
        <f>E13*2073.5</f>
        <v>1179.8214999999998</v>
      </c>
      <c r="G13" s="1127"/>
      <c r="H13" s="1128"/>
      <c r="I13" s="1126">
        <v>5</v>
      </c>
      <c r="J13" s="601">
        <v>0.569</v>
      </c>
      <c r="K13" s="679">
        <f>J13*2073.5</f>
        <v>1179.8214999999998</v>
      </c>
      <c r="L13" s="1129"/>
      <c r="M13" s="1130"/>
      <c r="N13" s="1131"/>
      <c r="O13" s="1132"/>
      <c r="P13" s="1133"/>
      <c r="Q13" s="1134"/>
      <c r="R13" s="1135"/>
      <c r="S13" s="1136"/>
      <c r="T13" s="1137"/>
      <c r="U13" s="1121">
        <v>2011</v>
      </c>
      <c r="V13" s="1122">
        <v>2016</v>
      </c>
      <c r="W13" s="967" t="s">
        <v>759</v>
      </c>
    </row>
    <row r="14" spans="1:23" ht="15" customHeight="1">
      <c r="A14" s="573">
        <f>A13+1</f>
        <v>2</v>
      </c>
      <c r="B14" s="584" t="s">
        <v>631</v>
      </c>
      <c r="C14" s="585">
        <v>5</v>
      </c>
      <c r="D14" s="586">
        <v>5</v>
      </c>
      <c r="E14" s="610">
        <v>0.387</v>
      </c>
      <c r="F14" s="941">
        <f aca="true" t="shared" si="0" ref="F14:F37">E14*2073.5</f>
        <v>802.4445000000001</v>
      </c>
      <c r="G14" s="589"/>
      <c r="H14" s="590"/>
      <c r="I14" s="595">
        <v>5</v>
      </c>
      <c r="J14" s="871">
        <v>0.387</v>
      </c>
      <c r="K14" s="600">
        <f>F14</f>
        <v>802.4445000000001</v>
      </c>
      <c r="L14" s="592"/>
      <c r="M14" s="593"/>
      <c r="N14" s="594"/>
      <c r="O14" s="586"/>
      <c r="P14" s="873"/>
      <c r="Q14" s="589"/>
      <c r="R14" s="598"/>
      <c r="S14" s="599"/>
      <c r="T14" s="600"/>
      <c r="U14" s="1119">
        <v>2011</v>
      </c>
      <c r="V14" s="1120">
        <v>2016</v>
      </c>
      <c r="W14" s="967"/>
    </row>
    <row r="15" spans="1:23" ht="15" customHeight="1">
      <c r="A15" s="573">
        <f aca="true" t="shared" si="1" ref="A15:A37">A14+1</f>
        <v>3</v>
      </c>
      <c r="B15" s="584" t="s">
        <v>632</v>
      </c>
      <c r="C15" s="677">
        <v>3</v>
      </c>
      <c r="D15" s="678">
        <v>2</v>
      </c>
      <c r="E15" s="601">
        <v>0.0731</v>
      </c>
      <c r="F15" s="941">
        <f t="shared" si="0"/>
        <v>151.57285</v>
      </c>
      <c r="G15" s="589"/>
      <c r="H15" s="590"/>
      <c r="I15" s="595"/>
      <c r="J15" s="596"/>
      <c r="K15" s="600"/>
      <c r="L15" s="592"/>
      <c r="M15" s="593"/>
      <c r="N15" s="594"/>
      <c r="O15" s="678"/>
      <c r="P15" s="601"/>
      <c r="Q15" s="589"/>
      <c r="R15" s="678">
        <v>2</v>
      </c>
      <c r="S15" s="601">
        <v>0.0731</v>
      </c>
      <c r="T15" s="941">
        <f>S15*2073.5</f>
        <v>151.57285</v>
      </c>
      <c r="U15" s="1119">
        <v>2010</v>
      </c>
      <c r="V15" s="1120">
        <v>2016</v>
      </c>
      <c r="W15" s="967"/>
    </row>
    <row r="16" spans="1:23" ht="15" customHeight="1">
      <c r="A16" s="573">
        <f t="shared" si="1"/>
        <v>4</v>
      </c>
      <c r="B16" s="584" t="s">
        <v>633</v>
      </c>
      <c r="C16" s="677">
        <v>3</v>
      </c>
      <c r="D16" s="678">
        <v>2</v>
      </c>
      <c r="E16" s="601">
        <v>0.082</v>
      </c>
      <c r="F16" s="941">
        <f t="shared" si="0"/>
        <v>170.02700000000002</v>
      </c>
      <c r="G16" s="589"/>
      <c r="H16" s="590"/>
      <c r="I16" s="595"/>
      <c r="J16" s="596"/>
      <c r="K16" s="600"/>
      <c r="L16" s="592"/>
      <c r="M16" s="593"/>
      <c r="N16" s="594"/>
      <c r="O16" s="678"/>
      <c r="P16" s="601"/>
      <c r="Q16" s="589"/>
      <c r="R16" s="678">
        <v>2</v>
      </c>
      <c r="S16" s="601">
        <v>0.082</v>
      </c>
      <c r="T16" s="941">
        <f>S16*2073.5</f>
        <v>170.02700000000002</v>
      </c>
      <c r="U16" s="1119">
        <v>2010</v>
      </c>
      <c r="V16" s="1120">
        <v>2016</v>
      </c>
      <c r="W16" s="967"/>
    </row>
    <row r="17" spans="1:22" ht="15" customHeight="1">
      <c r="A17" s="573">
        <f t="shared" si="1"/>
        <v>5</v>
      </c>
      <c r="B17" s="584" t="s">
        <v>473</v>
      </c>
      <c r="C17" s="677">
        <v>5</v>
      </c>
      <c r="D17" s="678">
        <v>4</v>
      </c>
      <c r="E17" s="601">
        <v>0.289</v>
      </c>
      <c r="F17" s="941">
        <f t="shared" si="0"/>
        <v>599.2415</v>
      </c>
      <c r="G17" s="589"/>
      <c r="H17" s="590"/>
      <c r="I17" s="595"/>
      <c r="J17" s="596"/>
      <c r="K17" s="600"/>
      <c r="L17" s="592"/>
      <c r="M17" s="593"/>
      <c r="N17" s="594"/>
      <c r="O17" s="678"/>
      <c r="P17" s="601"/>
      <c r="Q17" s="589"/>
      <c r="R17" s="678">
        <v>4</v>
      </c>
      <c r="S17" s="601">
        <v>0.289</v>
      </c>
      <c r="T17" s="941">
        <f>S17*2073.5</f>
        <v>599.2415</v>
      </c>
      <c r="U17" s="1119">
        <v>2011</v>
      </c>
      <c r="V17" s="1120">
        <v>2016</v>
      </c>
    </row>
    <row r="18" spans="1:22" ht="15" customHeight="1">
      <c r="A18" s="573">
        <f t="shared" si="1"/>
        <v>6</v>
      </c>
      <c r="B18" s="584" t="s">
        <v>15</v>
      </c>
      <c r="C18" s="677">
        <v>5</v>
      </c>
      <c r="D18" s="678">
        <v>3</v>
      </c>
      <c r="E18" s="601">
        <v>0.258</v>
      </c>
      <c r="F18" s="941">
        <f t="shared" si="0"/>
        <v>534.963</v>
      </c>
      <c r="G18" s="589"/>
      <c r="H18" s="590"/>
      <c r="I18" s="595">
        <v>3</v>
      </c>
      <c r="J18" s="871">
        <v>0.258</v>
      </c>
      <c r="K18" s="600">
        <v>534.963</v>
      </c>
      <c r="L18" s="678"/>
      <c r="M18" s="601"/>
      <c r="N18" s="941"/>
      <c r="O18" s="678"/>
      <c r="P18" s="601"/>
      <c r="Q18" s="589"/>
      <c r="R18" s="598"/>
      <c r="S18" s="599"/>
      <c r="T18" s="600"/>
      <c r="U18" s="1119">
        <v>2011</v>
      </c>
      <c r="V18" s="1120">
        <v>2016</v>
      </c>
    </row>
    <row r="19" spans="1:23" ht="15" customHeight="1">
      <c r="A19" s="573">
        <f t="shared" si="1"/>
        <v>7</v>
      </c>
      <c r="B19" s="584" t="s">
        <v>638</v>
      </c>
      <c r="C19" s="677">
        <v>5</v>
      </c>
      <c r="D19" s="678">
        <v>4</v>
      </c>
      <c r="E19" s="601">
        <v>0.245</v>
      </c>
      <c r="F19" s="941">
        <f t="shared" si="0"/>
        <v>508.0075</v>
      </c>
      <c r="G19" s="589"/>
      <c r="H19" s="590"/>
      <c r="I19" s="595"/>
      <c r="J19" s="871"/>
      <c r="K19" s="600"/>
      <c r="L19" s="592"/>
      <c r="M19" s="606"/>
      <c r="N19" s="594"/>
      <c r="O19" s="678"/>
      <c r="P19" s="601"/>
      <c r="Q19" s="589"/>
      <c r="R19" s="678">
        <v>4</v>
      </c>
      <c r="S19" s="601">
        <v>0.245</v>
      </c>
      <c r="T19" s="941">
        <f>S19*2073.5</f>
        <v>508.0075</v>
      </c>
      <c r="U19" s="1119">
        <v>2011</v>
      </c>
      <c r="V19" s="1120">
        <v>2016</v>
      </c>
      <c r="W19" s="967" t="s">
        <v>759</v>
      </c>
    </row>
    <row r="20" spans="1:23" ht="15" customHeight="1">
      <c r="A20" s="573">
        <f t="shared" si="1"/>
        <v>8</v>
      </c>
      <c r="B20" s="584" t="s">
        <v>639</v>
      </c>
      <c r="C20" s="677">
        <v>2</v>
      </c>
      <c r="D20" s="678">
        <v>2</v>
      </c>
      <c r="E20" s="601">
        <v>0.042</v>
      </c>
      <c r="F20" s="941">
        <f t="shared" si="0"/>
        <v>87.087</v>
      </c>
      <c r="G20" s="589"/>
      <c r="H20" s="590"/>
      <c r="I20" s="678"/>
      <c r="J20" s="601"/>
      <c r="K20" s="941"/>
      <c r="L20" s="678">
        <v>2</v>
      </c>
      <c r="M20" s="601">
        <v>0.042</v>
      </c>
      <c r="N20" s="589">
        <v>87.087</v>
      </c>
      <c r="O20" s="678"/>
      <c r="P20" s="601"/>
      <c r="Q20" s="589"/>
      <c r="R20" s="598"/>
      <c r="S20" s="599"/>
      <c r="T20" s="600"/>
      <c r="U20" s="1119">
        <v>2009</v>
      </c>
      <c r="V20" s="1120">
        <v>2016</v>
      </c>
      <c r="W20" s="967"/>
    </row>
    <row r="21" spans="1:23" ht="15" customHeight="1">
      <c r="A21" s="573">
        <f t="shared" si="1"/>
        <v>9</v>
      </c>
      <c r="B21" s="584" t="s">
        <v>640</v>
      </c>
      <c r="C21" s="677">
        <v>2</v>
      </c>
      <c r="D21" s="678">
        <v>2</v>
      </c>
      <c r="E21" s="601">
        <v>0.044</v>
      </c>
      <c r="F21" s="941">
        <f t="shared" si="0"/>
        <v>91.234</v>
      </c>
      <c r="G21" s="589"/>
      <c r="H21" s="590"/>
      <c r="I21" s="678"/>
      <c r="J21" s="601"/>
      <c r="K21" s="941"/>
      <c r="L21" s="592"/>
      <c r="M21" s="606"/>
      <c r="N21" s="594"/>
      <c r="O21" s="678">
        <v>2</v>
      </c>
      <c r="P21" s="601">
        <v>0.044</v>
      </c>
      <c r="Q21" s="589">
        <v>91.234</v>
      </c>
      <c r="R21" s="598"/>
      <c r="S21" s="599"/>
      <c r="T21" s="600"/>
      <c r="U21" s="1119">
        <v>2009</v>
      </c>
      <c r="V21" s="1120">
        <v>2016</v>
      </c>
      <c r="W21" s="967"/>
    </row>
    <row r="22" spans="1:23" ht="15" customHeight="1">
      <c r="A22" s="573">
        <f t="shared" si="1"/>
        <v>10</v>
      </c>
      <c r="B22" s="584" t="s">
        <v>641</v>
      </c>
      <c r="C22" s="677">
        <v>2</v>
      </c>
      <c r="D22" s="678">
        <v>2</v>
      </c>
      <c r="E22" s="601">
        <v>0.043</v>
      </c>
      <c r="F22" s="941">
        <f t="shared" si="0"/>
        <v>89.1605</v>
      </c>
      <c r="G22" s="589"/>
      <c r="H22" s="590"/>
      <c r="I22" s="678"/>
      <c r="J22" s="601"/>
      <c r="K22" s="941"/>
      <c r="L22" s="678">
        <v>2</v>
      </c>
      <c r="M22" s="601">
        <v>0.043</v>
      </c>
      <c r="N22" s="941">
        <f>M22*2073.5</f>
        <v>89.1605</v>
      </c>
      <c r="O22" s="678"/>
      <c r="P22" s="601"/>
      <c r="Q22" s="589"/>
      <c r="R22" s="598"/>
      <c r="S22" s="599"/>
      <c r="T22" s="600"/>
      <c r="U22" s="1119">
        <v>2009</v>
      </c>
      <c r="V22" s="1120">
        <v>2016</v>
      </c>
      <c r="W22" s="967"/>
    </row>
    <row r="23" spans="1:23" ht="15" customHeight="1">
      <c r="A23" s="573">
        <f t="shared" si="1"/>
        <v>11</v>
      </c>
      <c r="B23" s="584" t="s">
        <v>642</v>
      </c>
      <c r="C23" s="677">
        <v>2</v>
      </c>
      <c r="D23" s="678">
        <v>2</v>
      </c>
      <c r="E23" s="601">
        <v>0.043</v>
      </c>
      <c r="F23" s="941">
        <f t="shared" si="0"/>
        <v>89.1605</v>
      </c>
      <c r="G23" s="589"/>
      <c r="H23" s="590"/>
      <c r="I23" s="678"/>
      <c r="J23" s="601"/>
      <c r="K23" s="941"/>
      <c r="L23" s="592">
        <v>2</v>
      </c>
      <c r="M23" s="606">
        <v>0.043</v>
      </c>
      <c r="N23" s="594">
        <v>89.1605</v>
      </c>
      <c r="O23" s="678"/>
      <c r="P23" s="601"/>
      <c r="Q23" s="589"/>
      <c r="R23" s="598"/>
      <c r="S23" s="599"/>
      <c r="T23" s="600"/>
      <c r="U23" s="1119">
        <v>2009</v>
      </c>
      <c r="V23" s="1120">
        <v>2016</v>
      </c>
      <c r="W23" s="967"/>
    </row>
    <row r="24" spans="1:22" ht="15" customHeight="1">
      <c r="A24" s="573">
        <f t="shared" si="1"/>
        <v>12</v>
      </c>
      <c r="B24" s="584" t="s">
        <v>485</v>
      </c>
      <c r="C24" s="677">
        <v>5</v>
      </c>
      <c r="D24" s="678">
        <v>7</v>
      </c>
      <c r="E24" s="601">
        <v>0.542</v>
      </c>
      <c r="F24" s="941">
        <f t="shared" si="0"/>
        <v>1123.837</v>
      </c>
      <c r="G24" s="589"/>
      <c r="H24" s="590"/>
      <c r="I24" s="595"/>
      <c r="J24" s="871"/>
      <c r="K24" s="600"/>
      <c r="L24" s="678">
        <v>7</v>
      </c>
      <c r="M24" s="601">
        <v>0.542</v>
      </c>
      <c r="N24" s="941">
        <f>M24*2073.5</f>
        <v>1123.837</v>
      </c>
      <c r="O24" s="678"/>
      <c r="P24" s="601"/>
      <c r="Q24" s="589"/>
      <c r="R24" s="598"/>
      <c r="S24" s="599"/>
      <c r="T24" s="600"/>
      <c r="U24" s="1119">
        <v>2011</v>
      </c>
      <c r="V24" s="1120">
        <v>2016</v>
      </c>
    </row>
    <row r="25" spans="1:23" ht="15" customHeight="1">
      <c r="A25" s="573">
        <f t="shared" si="1"/>
        <v>13</v>
      </c>
      <c r="B25" s="584" t="s">
        <v>486</v>
      </c>
      <c r="C25" s="677">
        <v>5</v>
      </c>
      <c r="D25" s="678">
        <v>4</v>
      </c>
      <c r="E25" s="601">
        <v>0.396</v>
      </c>
      <c r="F25" s="941">
        <f t="shared" si="0"/>
        <v>821.106</v>
      </c>
      <c r="G25" s="589"/>
      <c r="H25" s="590"/>
      <c r="I25" s="678">
        <v>4</v>
      </c>
      <c r="J25" s="601">
        <v>0.396</v>
      </c>
      <c r="K25" s="941">
        <f>J25*2073.5</f>
        <v>821.106</v>
      </c>
      <c r="L25" s="592"/>
      <c r="M25" s="606"/>
      <c r="N25" s="594"/>
      <c r="O25" s="678"/>
      <c r="P25" s="601"/>
      <c r="Q25" s="589"/>
      <c r="R25" s="598"/>
      <c r="S25" s="599"/>
      <c r="T25" s="600"/>
      <c r="U25" s="1119">
        <v>2011</v>
      </c>
      <c r="V25" s="1120">
        <v>2016</v>
      </c>
      <c r="W25" s="967"/>
    </row>
    <row r="26" spans="1:23" ht="15" customHeight="1">
      <c r="A26" s="573">
        <f t="shared" si="1"/>
        <v>14</v>
      </c>
      <c r="B26" s="584" t="s">
        <v>492</v>
      </c>
      <c r="C26" s="677">
        <v>5</v>
      </c>
      <c r="D26" s="678">
        <v>6</v>
      </c>
      <c r="E26" s="601">
        <v>0.39</v>
      </c>
      <c r="F26" s="941">
        <f t="shared" si="0"/>
        <v>808.6650000000001</v>
      </c>
      <c r="G26" s="589"/>
      <c r="H26" s="590"/>
      <c r="I26" s="595"/>
      <c r="J26" s="871"/>
      <c r="K26" s="600"/>
      <c r="L26" s="592"/>
      <c r="M26" s="606"/>
      <c r="N26" s="594"/>
      <c r="O26" s="678"/>
      <c r="P26" s="601"/>
      <c r="Q26" s="941"/>
      <c r="R26" s="678">
        <v>6</v>
      </c>
      <c r="S26" s="601">
        <v>0.39</v>
      </c>
      <c r="T26" s="941">
        <v>808.6650000000001</v>
      </c>
      <c r="U26" s="1119">
        <v>2011</v>
      </c>
      <c r="V26" s="1120">
        <v>2016</v>
      </c>
      <c r="W26" s="6" t="s">
        <v>759</v>
      </c>
    </row>
    <row r="27" spans="1:23" ht="15" customHeight="1">
      <c r="A27" s="573">
        <f t="shared" si="1"/>
        <v>15</v>
      </c>
      <c r="B27" s="584" t="s">
        <v>428</v>
      </c>
      <c r="C27" s="677">
        <v>4</v>
      </c>
      <c r="D27" s="678">
        <v>1</v>
      </c>
      <c r="E27" s="601">
        <v>0.075</v>
      </c>
      <c r="F27" s="941">
        <f t="shared" si="0"/>
        <v>155.5125</v>
      </c>
      <c r="G27" s="589"/>
      <c r="H27" s="590"/>
      <c r="I27" s="595"/>
      <c r="J27" s="871"/>
      <c r="K27" s="600"/>
      <c r="L27" s="592"/>
      <c r="M27" s="606"/>
      <c r="N27" s="594"/>
      <c r="O27" s="678"/>
      <c r="P27" s="601"/>
      <c r="Q27" s="589"/>
      <c r="R27" s="598">
        <v>1</v>
      </c>
      <c r="S27" s="599">
        <v>0.075</v>
      </c>
      <c r="T27" s="600">
        <v>155.5125</v>
      </c>
      <c r="U27" s="1119">
        <v>2010</v>
      </c>
      <c r="V27" s="1120">
        <v>2016</v>
      </c>
      <c r="W27" s="967"/>
    </row>
    <row r="28" spans="1:23" ht="15" customHeight="1">
      <c r="A28" s="573">
        <f t="shared" si="1"/>
        <v>16</v>
      </c>
      <c r="B28" s="584" t="s">
        <v>526</v>
      </c>
      <c r="C28" s="677">
        <v>5</v>
      </c>
      <c r="D28" s="678">
        <v>4</v>
      </c>
      <c r="E28" s="601">
        <v>0.32</v>
      </c>
      <c r="F28" s="941">
        <f t="shared" si="0"/>
        <v>663.52</v>
      </c>
      <c r="G28" s="589"/>
      <c r="H28" s="590"/>
      <c r="I28" s="595"/>
      <c r="J28" s="606"/>
      <c r="K28" s="941"/>
      <c r="L28" s="592">
        <v>4</v>
      </c>
      <c r="M28" s="606">
        <v>0.32</v>
      </c>
      <c r="N28" s="594">
        <v>663.52</v>
      </c>
      <c r="O28" s="678"/>
      <c r="P28" s="601"/>
      <c r="Q28" s="589"/>
      <c r="R28" s="598"/>
      <c r="S28" s="599"/>
      <c r="T28" s="600"/>
      <c r="U28" s="1119">
        <v>2011</v>
      </c>
      <c r="V28" s="1120">
        <v>2016</v>
      </c>
      <c r="W28" s="967" t="s">
        <v>649</v>
      </c>
    </row>
    <row r="29" spans="1:23" ht="15" customHeight="1">
      <c r="A29" s="573">
        <f t="shared" si="1"/>
        <v>17</v>
      </c>
      <c r="B29" s="584" t="s">
        <v>532</v>
      </c>
      <c r="C29" s="677">
        <v>5</v>
      </c>
      <c r="D29" s="678">
        <v>4</v>
      </c>
      <c r="E29" s="601">
        <v>0.391</v>
      </c>
      <c r="F29" s="941">
        <f t="shared" si="0"/>
        <v>810.7385</v>
      </c>
      <c r="G29" s="589"/>
      <c r="H29" s="590"/>
      <c r="I29" s="595">
        <v>4</v>
      </c>
      <c r="J29" s="871">
        <v>0.391</v>
      </c>
      <c r="K29" s="941">
        <f>J29*2073.5</f>
        <v>810.7385</v>
      </c>
      <c r="L29" s="592"/>
      <c r="M29" s="606"/>
      <c r="N29" s="594"/>
      <c r="O29" s="678"/>
      <c r="P29" s="601"/>
      <c r="Q29" s="589"/>
      <c r="R29" s="598"/>
      <c r="S29" s="599"/>
      <c r="T29" s="600"/>
      <c r="U29" s="1119">
        <v>2011</v>
      </c>
      <c r="V29" s="1120">
        <v>2016</v>
      </c>
      <c r="W29" s="967" t="s">
        <v>648</v>
      </c>
    </row>
    <row r="30" spans="1:22" ht="15" customHeight="1">
      <c r="A30" s="573">
        <f t="shared" si="1"/>
        <v>18</v>
      </c>
      <c r="B30" s="584" t="s">
        <v>535</v>
      </c>
      <c r="C30" s="585">
        <v>5</v>
      </c>
      <c r="D30" s="586">
        <v>5</v>
      </c>
      <c r="E30" s="583">
        <v>0.43</v>
      </c>
      <c r="F30" s="941">
        <f t="shared" si="0"/>
        <v>891.605</v>
      </c>
      <c r="G30" s="589"/>
      <c r="H30" s="590"/>
      <c r="I30" s="586"/>
      <c r="J30" s="587"/>
      <c r="K30" s="600"/>
      <c r="L30" s="603">
        <v>5</v>
      </c>
      <c r="M30" s="587">
        <v>0.43</v>
      </c>
      <c r="N30" s="594">
        <v>891.605</v>
      </c>
      <c r="O30" s="595"/>
      <c r="P30" s="874"/>
      <c r="Q30" s="597"/>
      <c r="R30" s="603"/>
      <c r="S30" s="591"/>
      <c r="T30" s="589"/>
      <c r="U30" s="1119">
        <v>2011</v>
      </c>
      <c r="V30" s="1120">
        <v>2016</v>
      </c>
    </row>
    <row r="31" spans="1:23" ht="15" customHeight="1">
      <c r="A31" s="573">
        <f t="shared" si="1"/>
        <v>19</v>
      </c>
      <c r="B31" s="584" t="s">
        <v>460</v>
      </c>
      <c r="C31" s="585">
        <v>5</v>
      </c>
      <c r="D31" s="586">
        <v>4</v>
      </c>
      <c r="E31" s="583">
        <v>0.448</v>
      </c>
      <c r="F31" s="941">
        <f t="shared" si="0"/>
        <v>928.928</v>
      </c>
      <c r="G31" s="589"/>
      <c r="H31" s="590"/>
      <c r="I31" s="595"/>
      <c r="J31" s="871"/>
      <c r="K31" s="600"/>
      <c r="L31" s="592"/>
      <c r="M31" s="606"/>
      <c r="N31" s="594"/>
      <c r="O31" s="595"/>
      <c r="P31" s="874"/>
      <c r="Q31" s="597"/>
      <c r="R31" s="586">
        <v>4</v>
      </c>
      <c r="S31" s="583">
        <v>0.448</v>
      </c>
      <c r="T31" s="941">
        <f>S31*2073.5</f>
        <v>928.928</v>
      </c>
      <c r="U31" s="1119">
        <v>2009</v>
      </c>
      <c r="V31" s="1120">
        <v>2016</v>
      </c>
      <c r="W31" s="967"/>
    </row>
    <row r="32" spans="1:22" ht="15" customHeight="1">
      <c r="A32" s="573">
        <f t="shared" si="1"/>
        <v>20</v>
      </c>
      <c r="B32" s="584" t="s">
        <v>644</v>
      </c>
      <c r="C32" s="585">
        <v>8</v>
      </c>
      <c r="D32" s="586">
        <v>2</v>
      </c>
      <c r="E32" s="583">
        <v>0.521</v>
      </c>
      <c r="F32" s="941">
        <f t="shared" si="0"/>
        <v>1080.2935</v>
      </c>
      <c r="G32" s="589"/>
      <c r="H32" s="590"/>
      <c r="I32" s="586"/>
      <c r="J32" s="587"/>
      <c r="K32" s="589"/>
      <c r="L32" s="592"/>
      <c r="M32" s="606"/>
      <c r="N32" s="594"/>
      <c r="O32" s="586">
        <v>2</v>
      </c>
      <c r="P32" s="583">
        <v>0.521</v>
      </c>
      <c r="Q32" s="941">
        <f>P32*2073.5</f>
        <v>1080.2935</v>
      </c>
      <c r="R32" s="586"/>
      <c r="S32" s="583"/>
      <c r="T32" s="941"/>
      <c r="U32" s="1119">
        <v>2011</v>
      </c>
      <c r="V32" s="1120">
        <v>2016</v>
      </c>
    </row>
    <row r="33" spans="1:22" ht="15" customHeight="1">
      <c r="A33" s="573">
        <f t="shared" si="1"/>
        <v>21</v>
      </c>
      <c r="B33" s="584" t="s">
        <v>645</v>
      </c>
      <c r="C33" s="585">
        <v>5</v>
      </c>
      <c r="D33" s="586">
        <v>8</v>
      </c>
      <c r="E33" s="583">
        <v>0.652</v>
      </c>
      <c r="F33" s="941">
        <f t="shared" si="0"/>
        <v>1351.922</v>
      </c>
      <c r="G33" s="589"/>
      <c r="H33" s="590"/>
      <c r="I33" s="595"/>
      <c r="J33" s="871"/>
      <c r="K33" s="600"/>
      <c r="L33" s="586">
        <v>8</v>
      </c>
      <c r="M33" s="583">
        <v>0.652</v>
      </c>
      <c r="N33" s="941">
        <f>M33*2073.5</f>
        <v>1351.922</v>
      </c>
      <c r="O33" s="586"/>
      <c r="P33" s="583"/>
      <c r="Q33" s="941"/>
      <c r="R33" s="598"/>
      <c r="S33" s="599"/>
      <c r="T33" s="600"/>
      <c r="U33" s="1119">
        <v>2011</v>
      </c>
      <c r="V33" s="1120">
        <v>2016</v>
      </c>
    </row>
    <row r="34" spans="1:22" ht="15" customHeight="1">
      <c r="A34" s="573">
        <f t="shared" si="1"/>
        <v>22</v>
      </c>
      <c r="B34" s="584" t="s">
        <v>646</v>
      </c>
      <c r="C34" s="585">
        <v>5</v>
      </c>
      <c r="D34" s="586">
        <v>4</v>
      </c>
      <c r="E34" s="587">
        <v>0.274</v>
      </c>
      <c r="F34" s="941">
        <f t="shared" si="0"/>
        <v>568.139</v>
      </c>
      <c r="G34" s="589"/>
      <c r="H34" s="604"/>
      <c r="I34" s="595"/>
      <c r="J34" s="871"/>
      <c r="K34" s="605"/>
      <c r="L34" s="586"/>
      <c r="M34" s="587"/>
      <c r="N34" s="606"/>
      <c r="O34" s="586">
        <v>4</v>
      </c>
      <c r="P34" s="587">
        <v>0.274</v>
      </c>
      <c r="Q34" s="941">
        <f>P34*2073.5</f>
        <v>568.139</v>
      </c>
      <c r="R34" s="607"/>
      <c r="S34" s="596"/>
      <c r="T34" s="605"/>
      <c r="U34" s="1119">
        <v>2011</v>
      </c>
      <c r="V34" s="1120">
        <v>2016</v>
      </c>
    </row>
    <row r="35" spans="1:23" ht="15" customHeight="1">
      <c r="A35" s="573">
        <f t="shared" si="1"/>
        <v>23</v>
      </c>
      <c r="B35" s="584" t="s">
        <v>647</v>
      </c>
      <c r="C35" s="585">
        <v>5</v>
      </c>
      <c r="D35" s="586">
        <v>6</v>
      </c>
      <c r="E35" s="587">
        <v>0.423</v>
      </c>
      <c r="F35" s="941">
        <f t="shared" si="0"/>
        <v>877.0905</v>
      </c>
      <c r="G35" s="589"/>
      <c r="H35" s="604"/>
      <c r="I35" s="595"/>
      <c r="J35" s="871"/>
      <c r="K35" s="605"/>
      <c r="L35" s="586"/>
      <c r="M35" s="587"/>
      <c r="N35" s="606"/>
      <c r="O35" s="586">
        <v>6</v>
      </c>
      <c r="P35" s="587">
        <v>0.423</v>
      </c>
      <c r="Q35" s="941">
        <f>P35*2073.5</f>
        <v>877.0905</v>
      </c>
      <c r="R35" s="607"/>
      <c r="S35" s="596"/>
      <c r="T35" s="605"/>
      <c r="U35" s="1119">
        <v>2011</v>
      </c>
      <c r="V35" s="1120">
        <v>2016</v>
      </c>
      <c r="W35" s="967"/>
    </row>
    <row r="36" spans="1:23" ht="15" customHeight="1">
      <c r="A36" s="573">
        <f t="shared" si="1"/>
        <v>24</v>
      </c>
      <c r="B36" s="584" t="s">
        <v>536</v>
      </c>
      <c r="C36" s="585">
        <v>5</v>
      </c>
      <c r="D36" s="586">
        <v>6</v>
      </c>
      <c r="E36" s="587">
        <v>0.677</v>
      </c>
      <c r="F36" s="941">
        <f t="shared" si="0"/>
        <v>1403.7595000000001</v>
      </c>
      <c r="G36" s="589"/>
      <c r="H36" s="590"/>
      <c r="I36" s="595"/>
      <c r="J36" s="871"/>
      <c r="K36" s="600"/>
      <c r="L36" s="586"/>
      <c r="M36" s="587"/>
      <c r="N36" s="594"/>
      <c r="O36" s="586">
        <v>6</v>
      </c>
      <c r="P36" s="591">
        <v>0.677</v>
      </c>
      <c r="Q36" s="589">
        <v>1403.7595000000001</v>
      </c>
      <c r="R36" s="586"/>
      <c r="S36" s="587"/>
      <c r="T36" s="941"/>
      <c r="U36" s="1119">
        <v>2011</v>
      </c>
      <c r="V36" s="1120">
        <v>2016</v>
      </c>
      <c r="W36" s="967" t="s">
        <v>649</v>
      </c>
    </row>
    <row r="37" spans="1:23" ht="15" customHeight="1" thickBot="1">
      <c r="A37" s="573">
        <f t="shared" si="1"/>
        <v>25</v>
      </c>
      <c r="B37" s="1138" t="s">
        <v>539</v>
      </c>
      <c r="C37" s="1139">
        <v>5</v>
      </c>
      <c r="D37" s="1140">
        <v>6</v>
      </c>
      <c r="E37" s="1141">
        <v>0.43</v>
      </c>
      <c r="F37" s="679">
        <f t="shared" si="0"/>
        <v>891.605</v>
      </c>
      <c r="G37" s="589"/>
      <c r="H37" s="608"/>
      <c r="I37" s="586"/>
      <c r="J37" s="591"/>
      <c r="K37" s="1142"/>
      <c r="L37" s="607"/>
      <c r="M37" s="596"/>
      <c r="N37" s="594"/>
      <c r="O37" s="609"/>
      <c r="P37" s="593"/>
      <c r="Q37" s="1143"/>
      <c r="R37" s="586">
        <v>6</v>
      </c>
      <c r="S37" s="587">
        <v>0.43</v>
      </c>
      <c r="T37" s="589">
        <v>891.605</v>
      </c>
      <c r="U37" s="1123">
        <v>2011</v>
      </c>
      <c r="V37" s="1124">
        <v>2016</v>
      </c>
      <c r="W37" s="967" t="s">
        <v>649</v>
      </c>
    </row>
    <row r="38" spans="1:22" ht="13.5" thickBot="1">
      <c r="A38" s="106"/>
      <c r="B38" s="107" t="s">
        <v>6</v>
      </c>
      <c r="C38" s="100"/>
      <c r="D38" s="14">
        <f aca="true" t="shared" si="2" ref="D38:T38">SUM(D13:D37)</f>
        <v>100</v>
      </c>
      <c r="E38" s="580">
        <f t="shared" si="2"/>
        <v>8.0441</v>
      </c>
      <c r="F38" s="101">
        <f t="shared" si="2"/>
        <v>16679.44135</v>
      </c>
      <c r="G38" s="101">
        <f t="shared" si="2"/>
        <v>0</v>
      </c>
      <c r="H38" s="101">
        <f t="shared" si="2"/>
        <v>0</v>
      </c>
      <c r="I38" s="101">
        <f t="shared" si="2"/>
        <v>21</v>
      </c>
      <c r="J38" s="101">
        <f t="shared" si="2"/>
        <v>2.001</v>
      </c>
      <c r="K38" s="101">
        <f t="shared" si="2"/>
        <v>4149.0735</v>
      </c>
      <c r="L38" s="101">
        <f t="shared" si="2"/>
        <v>30</v>
      </c>
      <c r="M38" s="101">
        <f t="shared" si="2"/>
        <v>2.072</v>
      </c>
      <c r="N38" s="101">
        <f t="shared" si="2"/>
        <v>4296.2919999999995</v>
      </c>
      <c r="O38" s="101">
        <f t="shared" si="2"/>
        <v>20</v>
      </c>
      <c r="P38" s="101">
        <f t="shared" si="2"/>
        <v>1.939</v>
      </c>
      <c r="Q38" s="101">
        <f t="shared" si="2"/>
        <v>4020.5164999999997</v>
      </c>
      <c r="R38" s="101">
        <f t="shared" si="2"/>
        <v>29</v>
      </c>
      <c r="S38" s="101">
        <f t="shared" si="2"/>
        <v>2.0321</v>
      </c>
      <c r="T38" s="101">
        <f t="shared" si="2"/>
        <v>4213.5593499999995</v>
      </c>
      <c r="U38" s="5"/>
      <c r="V38" s="905"/>
    </row>
    <row r="39" spans="1:2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.75">
      <c r="A40" s="3"/>
      <c r="B40" s="1658" t="s">
        <v>95</v>
      </c>
      <c r="C40" s="1658"/>
      <c r="D40" s="15"/>
      <c r="E40" s="11"/>
      <c r="F40" s="12"/>
      <c r="G40" s="12"/>
      <c r="H40" s="12" t="s">
        <v>74</v>
      </c>
      <c r="I40" s="3"/>
      <c r="J40" s="3"/>
      <c r="K40" s="3"/>
      <c r="L40" s="3"/>
      <c r="M40" s="3"/>
      <c r="N40" s="3" t="s">
        <v>356</v>
      </c>
      <c r="O40" s="3"/>
      <c r="P40" s="3"/>
      <c r="Q40" s="3"/>
      <c r="R40" s="3"/>
      <c r="S40" s="3"/>
      <c r="T40" s="3"/>
    </row>
    <row r="41" spans="1:20" ht="12.75">
      <c r="A41" s="3"/>
      <c r="B41" s="112"/>
      <c r="C41" s="112"/>
      <c r="D41" s="11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4" ht="12.75" hidden="1">
      <c r="B42" s="50"/>
      <c r="C42" s="50"/>
      <c r="D42" s="50"/>
    </row>
    <row r="43" spans="2:4" ht="12.75" hidden="1">
      <c r="B43" s="50"/>
      <c r="C43" s="718"/>
      <c r="D43" s="50"/>
    </row>
    <row r="44" spans="2:4" ht="12.75" hidden="1">
      <c r="B44" s="719" t="s">
        <v>338</v>
      </c>
      <c r="C44" s="50"/>
      <c r="D44" s="50"/>
    </row>
    <row r="45" spans="2:4" ht="12.75" hidden="1">
      <c r="B45" s="720">
        <v>1176.43</v>
      </c>
      <c r="C45" s="50"/>
      <c r="D45" s="50"/>
    </row>
    <row r="46" spans="2:4" ht="12.75" hidden="1">
      <c r="B46" s="50"/>
      <c r="C46" s="50"/>
      <c r="D46" s="50"/>
    </row>
    <row r="47" ht="12.75" hidden="1"/>
    <row r="48" ht="12.75" hidden="1"/>
    <row r="49" ht="12.75" hidden="1">
      <c r="N49" s="51"/>
    </row>
  </sheetData>
  <sheetProtection/>
  <autoFilter ref="A12:W38"/>
  <mergeCells count="21">
    <mergeCell ref="C8:C11"/>
    <mergeCell ref="B8:B11"/>
    <mergeCell ref="R9:S10"/>
    <mergeCell ref="L8:N8"/>
    <mergeCell ref="A6:T6"/>
    <mergeCell ref="A7:T7"/>
    <mergeCell ref="N9:N10"/>
    <mergeCell ref="O9:P10"/>
    <mergeCell ref="Q9:Q10"/>
    <mergeCell ref="A8:A11"/>
    <mergeCell ref="I8:K8"/>
    <mergeCell ref="D8:H8"/>
    <mergeCell ref="I9:J10"/>
    <mergeCell ref="T9:T10"/>
    <mergeCell ref="B40:C40"/>
    <mergeCell ref="O8:Q8"/>
    <mergeCell ref="R8:T8"/>
    <mergeCell ref="D9:E10"/>
    <mergeCell ref="G9:H9"/>
    <mergeCell ref="L9:M10"/>
    <mergeCell ref="K9:K10"/>
  </mergeCells>
  <printOptions/>
  <pageMargins left="0.2362204724409449" right="0.2362204724409449" top="0.15748031496062992" bottom="0.15748031496062992" header="0" footer="0"/>
  <pageSetup fitToHeight="2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43"/>
  <sheetViews>
    <sheetView zoomScalePageLayoutView="0" workbookViewId="0" topLeftCell="A10">
      <selection activeCell="B49" sqref="B49"/>
    </sheetView>
  </sheetViews>
  <sheetFormatPr defaultColWidth="9.00390625" defaultRowHeight="12.75"/>
  <cols>
    <col min="1" max="1" width="5.00390625" style="0" customWidth="1"/>
    <col min="2" max="2" width="27.125" style="0" customWidth="1"/>
    <col min="4" max="4" width="14.625" style="0" customWidth="1"/>
    <col min="5" max="5" width="31.375" style="8" customWidth="1"/>
  </cols>
  <sheetData>
    <row r="2" ht="13.5" thickBot="1">
      <c r="B2" t="s">
        <v>348</v>
      </c>
    </row>
    <row r="3" spans="1:5" ht="13.5" thickBot="1">
      <c r="A3" s="1662" t="s">
        <v>76</v>
      </c>
      <c r="B3" s="1572" t="s">
        <v>3</v>
      </c>
      <c r="C3" s="578"/>
      <c r="D3" s="618"/>
      <c r="E3" s="1662" t="s">
        <v>38</v>
      </c>
    </row>
    <row r="4" spans="1:5" ht="13.5" thickBot="1">
      <c r="A4" s="1663"/>
      <c r="B4" s="1659"/>
      <c r="C4" s="1654" t="s">
        <v>168</v>
      </c>
      <c r="D4" s="99" t="s">
        <v>83</v>
      </c>
      <c r="E4" s="1663"/>
    </row>
    <row r="5" spans="1:5" ht="13.5" thickBot="1">
      <c r="A5" s="1663"/>
      <c r="B5" s="1659"/>
      <c r="C5" s="1656"/>
      <c r="D5" s="668" t="s">
        <v>6</v>
      </c>
      <c r="E5" s="1663"/>
    </row>
    <row r="6" spans="1:5" ht="13.5" thickBot="1">
      <c r="A6" s="1664"/>
      <c r="B6" s="1573"/>
      <c r="C6" s="99" t="s">
        <v>91</v>
      </c>
      <c r="D6" s="667" t="s">
        <v>92</v>
      </c>
      <c r="E6" s="1664"/>
    </row>
    <row r="7" spans="1:5" ht="15" customHeight="1">
      <c r="A7" s="581">
        <v>1</v>
      </c>
      <c r="B7" s="872" t="s">
        <v>387</v>
      </c>
      <c r="C7" s="621">
        <v>6</v>
      </c>
      <c r="D7" s="588">
        <f>C7*1.510983</f>
        <v>9.065898</v>
      </c>
      <c r="E7" s="671" t="s">
        <v>388</v>
      </c>
    </row>
    <row r="8" spans="1:5" ht="15" customHeight="1">
      <c r="A8" s="573">
        <f>A7+1</f>
        <v>2</v>
      </c>
      <c r="B8" s="584" t="s">
        <v>564</v>
      </c>
      <c r="C8" s="620">
        <v>3</v>
      </c>
      <c r="D8" s="588">
        <f aca="true" t="shared" si="0" ref="D8:D28">C8*1.510983</f>
        <v>4.532949</v>
      </c>
      <c r="E8" s="672" t="s">
        <v>694</v>
      </c>
    </row>
    <row r="9" spans="1:5" ht="15" customHeight="1">
      <c r="A9" s="573">
        <f aca="true" t="shared" si="1" ref="A9:A28">A8+1</f>
        <v>3</v>
      </c>
      <c r="B9" s="584" t="s">
        <v>719</v>
      </c>
      <c r="C9" s="620">
        <v>1</v>
      </c>
      <c r="D9" s="588">
        <f t="shared" si="0"/>
        <v>1.510983</v>
      </c>
      <c r="E9" s="672" t="s">
        <v>689</v>
      </c>
    </row>
    <row r="10" spans="1:5" ht="15" customHeight="1">
      <c r="A10" s="573">
        <f t="shared" si="1"/>
        <v>4</v>
      </c>
      <c r="B10" s="584" t="s">
        <v>478</v>
      </c>
      <c r="C10" s="669">
        <v>1.2</v>
      </c>
      <c r="D10" s="588">
        <f t="shared" si="0"/>
        <v>1.8131795999999998</v>
      </c>
      <c r="E10" s="672" t="s">
        <v>430</v>
      </c>
    </row>
    <row r="11" spans="1:6" ht="15" customHeight="1">
      <c r="A11" s="573">
        <f t="shared" si="1"/>
        <v>5</v>
      </c>
      <c r="B11" s="813" t="s">
        <v>44</v>
      </c>
      <c r="C11" s="947">
        <v>1</v>
      </c>
      <c r="D11" s="948">
        <f t="shared" si="0"/>
        <v>1.510983</v>
      </c>
      <c r="E11" s="949" t="s">
        <v>426</v>
      </c>
      <c r="F11" s="670"/>
    </row>
    <row r="12" spans="1:5" ht="15" customHeight="1">
      <c r="A12" s="573">
        <f t="shared" si="1"/>
        <v>6</v>
      </c>
      <c r="B12" s="584" t="s">
        <v>45</v>
      </c>
      <c r="C12" s="950">
        <v>1</v>
      </c>
      <c r="D12" s="948">
        <f t="shared" si="0"/>
        <v>1.510983</v>
      </c>
      <c r="E12" s="949" t="s">
        <v>426</v>
      </c>
    </row>
    <row r="13" spans="1:5" ht="15" customHeight="1">
      <c r="A13" s="573">
        <f t="shared" si="1"/>
        <v>7</v>
      </c>
      <c r="B13" s="584" t="s">
        <v>431</v>
      </c>
      <c r="C13" s="619">
        <v>2</v>
      </c>
      <c r="D13" s="588">
        <f t="shared" si="0"/>
        <v>3.021966</v>
      </c>
      <c r="E13" s="672" t="s">
        <v>434</v>
      </c>
    </row>
    <row r="14" spans="1:5" ht="15" customHeight="1">
      <c r="A14" s="573">
        <f t="shared" si="1"/>
        <v>8</v>
      </c>
      <c r="B14" s="602" t="s">
        <v>418</v>
      </c>
      <c r="C14" s="621">
        <v>70</v>
      </c>
      <c r="D14" s="588">
        <f t="shared" si="0"/>
        <v>105.76881</v>
      </c>
      <c r="E14" s="672" t="s">
        <v>419</v>
      </c>
    </row>
    <row r="15" spans="1:5" ht="15" customHeight="1">
      <c r="A15" s="573">
        <f t="shared" si="1"/>
        <v>9</v>
      </c>
      <c r="B15" s="602" t="s">
        <v>418</v>
      </c>
      <c r="C15" s="621">
        <v>3</v>
      </c>
      <c r="D15" s="588">
        <f t="shared" si="0"/>
        <v>4.532949</v>
      </c>
      <c r="E15" s="672" t="s">
        <v>420</v>
      </c>
    </row>
    <row r="16" spans="1:5" ht="15" customHeight="1">
      <c r="A16" s="573">
        <f t="shared" si="1"/>
        <v>10</v>
      </c>
      <c r="B16" s="602" t="s">
        <v>46</v>
      </c>
      <c r="C16" s="621">
        <v>9.1</v>
      </c>
      <c r="D16" s="588">
        <f t="shared" si="0"/>
        <v>13.749945299999998</v>
      </c>
      <c r="E16" s="672" t="s">
        <v>416</v>
      </c>
    </row>
    <row r="17" spans="1:5" ht="15" customHeight="1">
      <c r="A17" s="573">
        <f t="shared" si="1"/>
        <v>11</v>
      </c>
      <c r="B17" s="584" t="s">
        <v>600</v>
      </c>
      <c r="C17" s="619">
        <v>5</v>
      </c>
      <c r="D17" s="588">
        <f t="shared" si="0"/>
        <v>7.554914999999999</v>
      </c>
      <c r="E17" s="672" t="s">
        <v>602</v>
      </c>
    </row>
    <row r="18" spans="1:5" ht="15" customHeight="1">
      <c r="A18" s="573">
        <f t="shared" si="1"/>
        <v>12</v>
      </c>
      <c r="B18" s="584" t="s">
        <v>605</v>
      </c>
      <c r="C18" s="619">
        <v>8</v>
      </c>
      <c r="D18" s="588">
        <f t="shared" si="0"/>
        <v>12.087864</v>
      </c>
      <c r="E18" s="672" t="s">
        <v>606</v>
      </c>
    </row>
    <row r="19" spans="1:5" ht="15" customHeight="1">
      <c r="A19" s="573">
        <f t="shared" si="1"/>
        <v>13</v>
      </c>
      <c r="B19" s="584" t="s">
        <v>608</v>
      </c>
      <c r="C19" s="620">
        <v>5</v>
      </c>
      <c r="D19" s="588">
        <f t="shared" si="0"/>
        <v>7.554914999999999</v>
      </c>
      <c r="E19" s="672" t="s">
        <v>609</v>
      </c>
    </row>
    <row r="20" spans="1:5" ht="15" customHeight="1">
      <c r="A20" s="573">
        <f t="shared" si="1"/>
        <v>14</v>
      </c>
      <c r="B20" s="584" t="s">
        <v>592</v>
      </c>
      <c r="C20" s="620">
        <v>4</v>
      </c>
      <c r="D20" s="588">
        <f t="shared" si="0"/>
        <v>6.043932</v>
      </c>
      <c r="E20" s="672" t="s">
        <v>594</v>
      </c>
    </row>
    <row r="21" spans="1:5" ht="15" customHeight="1">
      <c r="A21" s="573">
        <f t="shared" si="1"/>
        <v>15</v>
      </c>
      <c r="B21" s="584" t="s">
        <v>244</v>
      </c>
      <c r="C21" s="669">
        <v>10</v>
      </c>
      <c r="D21" s="588">
        <f t="shared" si="0"/>
        <v>15.109829999999999</v>
      </c>
      <c r="E21" s="672" t="s">
        <v>482</v>
      </c>
    </row>
    <row r="22" spans="1:5" ht="15" customHeight="1">
      <c r="A22" s="573">
        <f t="shared" si="1"/>
        <v>16</v>
      </c>
      <c r="B22" s="584" t="s">
        <v>484</v>
      </c>
      <c r="C22" s="620">
        <v>10</v>
      </c>
      <c r="D22" s="588">
        <f t="shared" si="0"/>
        <v>15.109829999999999</v>
      </c>
      <c r="E22" s="672" t="s">
        <v>482</v>
      </c>
    </row>
    <row r="23" spans="1:5" ht="15" customHeight="1">
      <c r="A23" s="573">
        <f t="shared" si="1"/>
        <v>17</v>
      </c>
      <c r="B23" s="584" t="s">
        <v>690</v>
      </c>
      <c r="C23" s="620">
        <v>3</v>
      </c>
      <c r="D23" s="588">
        <f t="shared" si="0"/>
        <v>4.532949</v>
      </c>
      <c r="E23" s="672" t="s">
        <v>691</v>
      </c>
    </row>
    <row r="24" spans="1:5" ht="15" customHeight="1">
      <c r="A24" s="573">
        <f t="shared" si="1"/>
        <v>18</v>
      </c>
      <c r="B24" s="584" t="s">
        <v>641</v>
      </c>
      <c r="C24" s="620">
        <v>1</v>
      </c>
      <c r="D24" s="588">
        <f t="shared" si="0"/>
        <v>1.510983</v>
      </c>
      <c r="E24" s="672" t="s">
        <v>689</v>
      </c>
    </row>
    <row r="25" spans="1:5" ht="15" customHeight="1">
      <c r="A25" s="573">
        <f t="shared" si="1"/>
        <v>19</v>
      </c>
      <c r="B25" s="584" t="s">
        <v>610</v>
      </c>
      <c r="C25" s="620">
        <v>5</v>
      </c>
      <c r="D25" s="588">
        <f t="shared" si="0"/>
        <v>7.554914999999999</v>
      </c>
      <c r="E25" s="672" t="s">
        <v>611</v>
      </c>
    </row>
    <row r="26" spans="1:5" ht="15" customHeight="1">
      <c r="A26" s="573">
        <f t="shared" si="1"/>
        <v>20</v>
      </c>
      <c r="B26" s="584" t="s">
        <v>613</v>
      </c>
      <c r="C26" s="620">
        <v>10</v>
      </c>
      <c r="D26" s="588">
        <f t="shared" si="0"/>
        <v>15.109829999999999</v>
      </c>
      <c r="E26" s="672" t="s">
        <v>615</v>
      </c>
    </row>
    <row r="27" spans="1:5" ht="15" customHeight="1">
      <c r="A27" s="573">
        <f t="shared" si="1"/>
        <v>21</v>
      </c>
      <c r="B27" s="602" t="s">
        <v>18</v>
      </c>
      <c r="C27" s="669">
        <v>4</v>
      </c>
      <c r="D27" s="588">
        <f t="shared" si="0"/>
        <v>6.043932</v>
      </c>
      <c r="E27" s="672" t="s">
        <v>399</v>
      </c>
    </row>
    <row r="28" spans="1:5" ht="15" customHeight="1" thickBot="1">
      <c r="A28" s="573">
        <f t="shared" si="1"/>
        <v>22</v>
      </c>
      <c r="B28" s="584" t="s">
        <v>380</v>
      </c>
      <c r="C28" s="620">
        <v>2</v>
      </c>
      <c r="D28" s="588">
        <f t="shared" si="0"/>
        <v>3.021966</v>
      </c>
      <c r="E28" s="672" t="s">
        <v>499</v>
      </c>
    </row>
    <row r="29" spans="1:5" ht="13.5" thickBot="1">
      <c r="A29" s="106"/>
      <c r="B29" s="107" t="s">
        <v>6</v>
      </c>
      <c r="C29" s="580">
        <f>SUM(C7:C28)</f>
        <v>164.3</v>
      </c>
      <c r="D29" s="101">
        <f>SUM(D7:D28)</f>
        <v>248.2545069</v>
      </c>
      <c r="E29" s="673"/>
    </row>
    <row r="32" ht="12.75">
      <c r="B32" t="s">
        <v>349</v>
      </c>
    </row>
    <row r="33" ht="13.5" thickBot="1"/>
    <row r="34" spans="1:5" ht="13.5" customHeight="1" thickBot="1">
      <c r="A34" s="1662" t="s">
        <v>76</v>
      </c>
      <c r="B34" s="1572" t="s">
        <v>3</v>
      </c>
      <c r="C34" s="578"/>
      <c r="D34" s="618"/>
      <c r="E34" s="1572" t="s">
        <v>38</v>
      </c>
    </row>
    <row r="35" spans="1:5" ht="13.5" thickBot="1">
      <c r="A35" s="1663"/>
      <c r="B35" s="1659"/>
      <c r="C35" s="1572" t="s">
        <v>91</v>
      </c>
      <c r="D35" s="99" t="s">
        <v>83</v>
      </c>
      <c r="E35" s="1659"/>
    </row>
    <row r="36" spans="1:5" ht="12.75">
      <c r="A36" s="1663"/>
      <c r="B36" s="1659"/>
      <c r="C36" s="1659"/>
      <c r="D36" s="668" t="s">
        <v>6</v>
      </c>
      <c r="E36" s="1659"/>
    </row>
    <row r="37" spans="1:5" ht="13.5" thickBot="1">
      <c r="A37" s="1664"/>
      <c r="B37" s="1573"/>
      <c r="C37" s="1573"/>
      <c r="D37" s="667" t="s">
        <v>92</v>
      </c>
      <c r="E37" s="1573"/>
    </row>
    <row r="38" spans="1:5" ht="12.75">
      <c r="A38" s="581">
        <v>1</v>
      </c>
      <c r="B38" s="582"/>
      <c r="C38" s="619"/>
      <c r="D38" s="588"/>
      <c r="E38" s="671"/>
    </row>
    <row r="39" spans="1:10" ht="12.75">
      <c r="A39" s="573">
        <f>A38+1</f>
        <v>2</v>
      </c>
      <c r="B39" s="584" t="s">
        <v>22</v>
      </c>
      <c r="C39" s="620">
        <v>8</v>
      </c>
      <c r="D39" s="588">
        <f>C39*0.7648966</f>
        <v>6.1191728</v>
      </c>
      <c r="E39" s="672" t="s">
        <v>563</v>
      </c>
      <c r="J39" t="s">
        <v>865</v>
      </c>
    </row>
    <row r="40" spans="1:5" ht="12.75">
      <c r="A40" s="573">
        <f>A39+1</f>
        <v>3</v>
      </c>
      <c r="B40" s="584" t="s">
        <v>592</v>
      </c>
      <c r="C40" s="620">
        <v>10</v>
      </c>
      <c r="D40" s="588">
        <f>C40*0.7648966</f>
        <v>7.648966000000001</v>
      </c>
      <c r="E40" s="672" t="s">
        <v>595</v>
      </c>
    </row>
    <row r="41" spans="1:5" ht="12.75">
      <c r="A41" s="573">
        <f>A40+1</f>
        <v>4</v>
      </c>
      <c r="B41" s="584" t="s">
        <v>610</v>
      </c>
      <c r="C41" s="620">
        <v>2</v>
      </c>
      <c r="D41" s="588">
        <f>C41*0.7648966</f>
        <v>1.5297932</v>
      </c>
      <c r="E41" s="672" t="s">
        <v>612</v>
      </c>
    </row>
    <row r="42" spans="1:5" ht="12.75">
      <c r="A42" s="573">
        <f>A41+1</f>
        <v>5</v>
      </c>
      <c r="B42" s="584" t="s">
        <v>764</v>
      </c>
      <c r="C42" s="620">
        <v>5</v>
      </c>
      <c r="D42" s="588">
        <f>C42*0.7648966</f>
        <v>3.8244830000000003</v>
      </c>
      <c r="E42" s="672" t="s">
        <v>765</v>
      </c>
    </row>
    <row r="43" spans="1:5" ht="12.75">
      <c r="A43" s="573">
        <f>A42+1</f>
        <v>6</v>
      </c>
      <c r="B43" s="584"/>
      <c r="C43" s="620"/>
      <c r="D43" s="588"/>
      <c r="E43" s="672"/>
    </row>
  </sheetData>
  <sheetProtection/>
  <mergeCells count="8">
    <mergeCell ref="E3:E6"/>
    <mergeCell ref="A3:A6"/>
    <mergeCell ref="B3:B6"/>
    <mergeCell ref="C4:C5"/>
    <mergeCell ref="A34:A37"/>
    <mergeCell ref="B34:B37"/>
    <mergeCell ref="E34:E37"/>
    <mergeCell ref="C35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novikovaon</dc:creator>
  <cp:keywords/>
  <dc:description/>
  <cp:lastModifiedBy>novikovaon</cp:lastModifiedBy>
  <cp:lastPrinted>2016-01-29T08:07:45Z</cp:lastPrinted>
  <dcterms:created xsi:type="dcterms:W3CDTF">2013-12-25T07:53:03Z</dcterms:created>
  <dcterms:modified xsi:type="dcterms:W3CDTF">2016-02-02T15:15:22Z</dcterms:modified>
  <cp:category/>
  <cp:version/>
  <cp:contentType/>
  <cp:contentStatus/>
</cp:coreProperties>
</file>