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1720" windowHeight="13200" activeTab="1"/>
  </bookViews>
  <sheets>
    <sheet name="швы 2012" sheetId="1" r:id="rId1"/>
    <sheet name="общий" sheetId="2" r:id="rId2"/>
    <sheet name="Ор 43к3" sheetId="3" r:id="rId3"/>
    <sheet name="Ал 33" sheetId="4" r:id="rId4"/>
    <sheet name="Ор 33 к3" sheetId="5" r:id="rId5"/>
  </sheets>
  <definedNames>
    <definedName name="_xlnm._FilterDatabase" localSheetId="1" hidden="1">'общий'!$A$4:$AJ$282</definedName>
    <definedName name="_xlnm._FilterDatabase" localSheetId="0" hidden="1">'швы 2012'!$B$2:$F$43</definedName>
  </definedNames>
  <calcPr fullCalcOnLoad="1"/>
</workbook>
</file>

<file path=xl/sharedStrings.xml><?xml version="1.0" encoding="utf-8"?>
<sst xmlns="http://schemas.openxmlformats.org/spreadsheetml/2006/main" count="672" uniqueCount="519">
  <si>
    <t>№ п/п</t>
  </si>
  <si>
    <t>Наименование улицы, номер дома</t>
  </si>
  <si>
    <t>Год постройки</t>
  </si>
  <si>
    <t>Этажность</t>
  </si>
  <si>
    <t>Кол-во квартир</t>
  </si>
  <si>
    <t>Общая площадь дома                         м2</t>
  </si>
  <si>
    <t>Площадь нежилых помещений                         м2</t>
  </si>
  <si>
    <t>Общая полезная площадь жилых помещений,</t>
  </si>
  <si>
    <t xml:space="preserve">  Жилая площадь                            м2</t>
  </si>
  <si>
    <t>Кол-во л/кл</t>
  </si>
  <si>
    <t>Тариф на текущий ремонт 2011 на 1-н кв.м.</t>
  </si>
  <si>
    <t>Годовой доход по статье текущий ремонт</t>
  </si>
  <si>
    <t>Коэффициент сбора 95.35%</t>
  </si>
  <si>
    <t>Ремонт кровли</t>
  </si>
  <si>
    <t>Нормализация температурно-влажностного режима</t>
  </si>
  <si>
    <t>Герметизщация стыков стеновых панелей</t>
  </si>
  <si>
    <t>Ремонт фасадов</t>
  </si>
  <si>
    <t>Ремонт квартир</t>
  </si>
  <si>
    <t>Замена водосточных труб</t>
  </si>
  <si>
    <t>Замена водосточных труб (антивандальные)</t>
  </si>
  <si>
    <t>Ремонт отмосток</t>
  </si>
  <si>
    <t>Ремонт балконов, лестниц, козырьков над входами, в подвалы…</t>
  </si>
  <si>
    <t>Ремонт мусоропроводов (шиберов, стволов, клапанов)</t>
  </si>
  <si>
    <t>Асфальтирование</t>
  </si>
  <si>
    <t>Ремонт печей</t>
  </si>
  <si>
    <t>Другие (ремонт трубопроводов ,электротехнические работы,плотницкие и подготовка домов к зиме)</t>
  </si>
  <si>
    <t>Итого, расход</t>
  </si>
  <si>
    <r>
      <t xml:space="preserve"> м</t>
    </r>
    <r>
      <rPr>
        <b/>
        <vertAlign val="superscript"/>
        <sz val="12"/>
        <rFont val="Times New Roman"/>
        <family val="1"/>
      </rPr>
      <t>2</t>
    </r>
  </si>
  <si>
    <t>1я Нижняя,   1</t>
  </si>
  <si>
    <t>1я Нижняя,   5</t>
  </si>
  <si>
    <t>до 1917</t>
  </si>
  <si>
    <t>Александровская,   2/  14</t>
  </si>
  <si>
    <t>Александровская,   5</t>
  </si>
  <si>
    <t>Александровская,   9/21</t>
  </si>
  <si>
    <t>Александровская,  15/14</t>
  </si>
  <si>
    <t>Александровская,  17</t>
  </si>
  <si>
    <t>Александровская,  20/16</t>
  </si>
  <si>
    <t>Александровская,  22/17</t>
  </si>
  <si>
    <t>Александровская,  23</t>
  </si>
  <si>
    <t>Александровская,  23а</t>
  </si>
  <si>
    <t>Александровская,  24</t>
  </si>
  <si>
    <t>Александровская,  25</t>
  </si>
  <si>
    <t>Александровская,  27</t>
  </si>
  <si>
    <t>Александровская,  28</t>
  </si>
  <si>
    <t>Александровская,  29</t>
  </si>
  <si>
    <t>Александровская,  30</t>
  </si>
  <si>
    <t>Александровская,  31</t>
  </si>
  <si>
    <t>Александровская,  32а</t>
  </si>
  <si>
    <t>Александровская,  32б</t>
  </si>
  <si>
    <t>Александровская,  32в</t>
  </si>
  <si>
    <t>Александровская,  33</t>
  </si>
  <si>
    <t>Александровская,  36а</t>
  </si>
  <si>
    <t>Александровская,  36б</t>
  </si>
  <si>
    <t>Александровская,  36в</t>
  </si>
  <si>
    <t>Александровская,  40</t>
  </si>
  <si>
    <t>Александровская,  42</t>
  </si>
  <si>
    <t>Александровская,  43</t>
  </si>
  <si>
    <t>Александровская,  45</t>
  </si>
  <si>
    <t>Богумиловская, 13</t>
  </si>
  <si>
    <t>Богумиловская, 15</t>
  </si>
  <si>
    <t xml:space="preserve"> 5-7</t>
  </si>
  <si>
    <t>Богумиловская, 17</t>
  </si>
  <si>
    <t>Владимирская,   4</t>
  </si>
  <si>
    <t>Владимирская,  12</t>
  </si>
  <si>
    <t>Владимирская,  15</t>
  </si>
  <si>
    <t>Владимирская,  16</t>
  </si>
  <si>
    <t>до1917</t>
  </si>
  <si>
    <t>Владимирская,  16а</t>
  </si>
  <si>
    <t>До 1917</t>
  </si>
  <si>
    <t>Владимирская,  18а</t>
  </si>
  <si>
    <t>Владимирская,  20/2</t>
  </si>
  <si>
    <t>до 1959</t>
  </si>
  <si>
    <t>Владимирская,  21</t>
  </si>
  <si>
    <t>Владимирская,  22</t>
  </si>
  <si>
    <t>Владимирская,  23</t>
  </si>
  <si>
    <t>Владимирская,  24</t>
  </si>
  <si>
    <t>до 1961</t>
  </si>
  <si>
    <t>Владимирская,  25</t>
  </si>
  <si>
    <t>Владимирская,  26</t>
  </si>
  <si>
    <t>Владимирская,  26а</t>
  </si>
  <si>
    <t>Владимирская,  26б</t>
  </si>
  <si>
    <t>Владимирская,  27</t>
  </si>
  <si>
    <t>Владимирская,  30</t>
  </si>
  <si>
    <t>Дворцовый пр,  16</t>
  </si>
  <si>
    <t>Дворцовый пр,  31</t>
  </si>
  <si>
    <t>Дворцовый пр,  32</t>
  </si>
  <si>
    <t>Дворцовый пр,  34</t>
  </si>
  <si>
    <t>Дворцовый пр,  36</t>
  </si>
  <si>
    <t>Дворцовый пр,  38</t>
  </si>
  <si>
    <t>Дворцовый пр,  43/6</t>
  </si>
  <si>
    <t>Дворцовый пр,  45/7</t>
  </si>
  <si>
    <t>Дворцовый пр,  49</t>
  </si>
  <si>
    <t>Дворцовый пр,  51</t>
  </si>
  <si>
    <t>Дворцовый пр,  53</t>
  </si>
  <si>
    <t>Дворцовый пр,  55/8</t>
  </si>
  <si>
    <t>Дегтярева  18/   1</t>
  </si>
  <si>
    <t>Дегтярева,  25</t>
  </si>
  <si>
    <t>Дегтярева,  27</t>
  </si>
  <si>
    <t>Еленинская,   7/   2</t>
  </si>
  <si>
    <t>Еленинская,   9/1</t>
  </si>
  <si>
    <t>до 1947</t>
  </si>
  <si>
    <t>Еленинская,  21</t>
  </si>
  <si>
    <t>Еленинская,  26/13</t>
  </si>
  <si>
    <t>Еленинская,  27/10</t>
  </si>
  <si>
    <t>Еленинская,  29</t>
  </si>
  <si>
    <t>Еленинская,  31</t>
  </si>
  <si>
    <t>Ж.Антоненко,   5</t>
  </si>
  <si>
    <t>Ж.Антоненко,   6</t>
  </si>
  <si>
    <t>Ж.Антоненко,   6 корпус 1</t>
  </si>
  <si>
    <t xml:space="preserve">Ж.Антоненко,   8                  </t>
  </si>
  <si>
    <t>Ж.Антоненко,  12</t>
  </si>
  <si>
    <t>Ж.Антоненко,  14а</t>
  </si>
  <si>
    <t>Ж.Антоненко,  16</t>
  </si>
  <si>
    <t>Железнодорожный пер., 6</t>
  </si>
  <si>
    <t>Жилгородок  12, д. 16</t>
  </si>
  <si>
    <t>Заводская,   1</t>
  </si>
  <si>
    <t>Заводская,   10</t>
  </si>
  <si>
    <t>Заводская,   2</t>
  </si>
  <si>
    <t>Заводская,   3</t>
  </si>
  <si>
    <t>Заводская,   4</t>
  </si>
  <si>
    <t>Заводская,   5</t>
  </si>
  <si>
    <t>Заводская,   7</t>
  </si>
  <si>
    <t>Заводская,   8</t>
  </si>
  <si>
    <t>Заводская,   9</t>
  </si>
  <si>
    <t>Заводская,  14</t>
  </si>
  <si>
    <t>Заводская,  16</t>
  </si>
  <si>
    <t>Заводской пер.,  11</t>
  </si>
  <si>
    <t>Иликовский,   8</t>
  </si>
  <si>
    <t>Иликовский,  12</t>
  </si>
  <si>
    <t>Иликовский,  24а</t>
  </si>
  <si>
    <t>Иликовский,  26</t>
  </si>
  <si>
    <t>До  1917</t>
  </si>
  <si>
    <t>Иликовский,  26а</t>
  </si>
  <si>
    <t>Иликовский,  28</t>
  </si>
  <si>
    <t>Иликовский,  30/2</t>
  </si>
  <si>
    <t>Кипренского,  17</t>
  </si>
  <si>
    <t>Кипренского,  54</t>
  </si>
  <si>
    <t>Кирочная,  18</t>
  </si>
  <si>
    <t>Кирочная,  20</t>
  </si>
  <si>
    <t>Кирочная,  30</t>
  </si>
  <si>
    <t>Костылева,  10/19</t>
  </si>
  <si>
    <t>Костылева,  12</t>
  </si>
  <si>
    <t>до 1955</t>
  </si>
  <si>
    <t>Костылева,  14</t>
  </si>
  <si>
    <t>Костылева,  16</t>
  </si>
  <si>
    <t>До 1982</t>
  </si>
  <si>
    <t>Костылева, 17</t>
  </si>
  <si>
    <t>Красноармейская  23а</t>
  </si>
  <si>
    <t>Красноармейская,   4</t>
  </si>
  <si>
    <t>Красноармейская,   8</t>
  </si>
  <si>
    <t>Красноармейская,  10</t>
  </si>
  <si>
    <t>до 1962</t>
  </si>
  <si>
    <t>Красноармейская,  12</t>
  </si>
  <si>
    <t>Красноармейская,  14</t>
  </si>
  <si>
    <t>Красноармейская,  23</t>
  </si>
  <si>
    <t>до 1965</t>
  </si>
  <si>
    <t>Красноармейская,  27</t>
  </si>
  <si>
    <t>Красноармейская,  29</t>
  </si>
  <si>
    <t>Красноармейская,  37</t>
  </si>
  <si>
    <t>Красноармейская,  37а</t>
  </si>
  <si>
    <t>Красного Флота,   1</t>
  </si>
  <si>
    <t>до 1939</t>
  </si>
  <si>
    <t>Красного Флота,   1а</t>
  </si>
  <si>
    <t xml:space="preserve">Красного Флота,   1б            </t>
  </si>
  <si>
    <t>Красного Флота,   3</t>
  </si>
  <si>
    <t>Красного Флота,   4</t>
  </si>
  <si>
    <t>Красного Флота,   5</t>
  </si>
  <si>
    <t xml:space="preserve"> Красного Флота, 6</t>
  </si>
  <si>
    <t>Красного Флота,   7</t>
  </si>
  <si>
    <t>до 1957</t>
  </si>
  <si>
    <t>Красного Флота,   7а</t>
  </si>
  <si>
    <t>до 1958</t>
  </si>
  <si>
    <t>Красного Флота,   9/  46</t>
  </si>
  <si>
    <t>Красного Флота,  20/  41</t>
  </si>
  <si>
    <t>до 1969</t>
  </si>
  <si>
    <t>Красного Флота,  28</t>
  </si>
  <si>
    <t>Красного Флота,  30</t>
  </si>
  <si>
    <t>Красного Флота,  30а</t>
  </si>
  <si>
    <t>Красного Флота,  32</t>
  </si>
  <si>
    <t>Краснофлотское шоссе,  27</t>
  </si>
  <si>
    <t>Краснофлотское шоссе,  39</t>
  </si>
  <si>
    <t>Кронштадтская,   2</t>
  </si>
  <si>
    <t>Кронштадтская,   4</t>
  </si>
  <si>
    <t>Кронштадтская,   4а</t>
  </si>
  <si>
    <t>Кронштадтская,   6/  49</t>
  </si>
  <si>
    <t>Кронштадтская,   7</t>
  </si>
  <si>
    <t>Левитана,  18</t>
  </si>
  <si>
    <t>Лесная,  21</t>
  </si>
  <si>
    <t xml:space="preserve">Литейная,   5  </t>
  </si>
  <si>
    <t>Литейная,   6</t>
  </si>
  <si>
    <t>Ломоносова,   2</t>
  </si>
  <si>
    <t>Ломоносова,  12</t>
  </si>
  <si>
    <t>Ломоносова,  12а</t>
  </si>
  <si>
    <t>Ломоносова,  14</t>
  </si>
  <si>
    <t>Ломоносова,  14а</t>
  </si>
  <si>
    <t>Манежная,   4а</t>
  </si>
  <si>
    <t>Михайловская,   3</t>
  </si>
  <si>
    <t>до 1950</t>
  </si>
  <si>
    <t>Михайловская,   5а</t>
  </si>
  <si>
    <t>Михайловская,   8</t>
  </si>
  <si>
    <t>Михайловская,  10/   2</t>
  </si>
  <si>
    <t>Михайловская,  13</t>
  </si>
  <si>
    <t>Михайловская,  18а</t>
  </si>
  <si>
    <t>до 1966</t>
  </si>
  <si>
    <t>Михайловская,  24/  22</t>
  </si>
  <si>
    <t>Михайловская,  27</t>
  </si>
  <si>
    <t>Морская,   6</t>
  </si>
  <si>
    <t>Морская,  14</t>
  </si>
  <si>
    <t>Морская,  22</t>
  </si>
  <si>
    <t>Морская,  27</t>
  </si>
  <si>
    <t>Морская,  29</t>
  </si>
  <si>
    <t>Морская,  55</t>
  </si>
  <si>
    <t>Морская,  65в</t>
  </si>
  <si>
    <t>Морская,  72</t>
  </si>
  <si>
    <t>Морская,  84</t>
  </si>
  <si>
    <t>Морская,  84а</t>
  </si>
  <si>
    <t>Морская,  86а</t>
  </si>
  <si>
    <t>Некрасова,   1 корпус 1</t>
  </si>
  <si>
    <t>Некрасова,   1 корпус 2</t>
  </si>
  <si>
    <t>Некрасова,  12</t>
  </si>
  <si>
    <t>Оранжерейная,  18</t>
  </si>
  <si>
    <t>Ораниенбаумский пр.,  21 к. 2</t>
  </si>
  <si>
    <t>Ораниенбаумский пр., 21</t>
  </si>
  <si>
    <t>Ораниенбаумский пр., 27</t>
  </si>
  <si>
    <t>Ораниенбаумский пр., 27 к. 2</t>
  </si>
  <si>
    <t xml:space="preserve">Ораниенбаумский пр., 29  </t>
  </si>
  <si>
    <t>Ораниенбаумский,  пр.  31</t>
  </si>
  <si>
    <t>до 1989</t>
  </si>
  <si>
    <t>Ораниенбаумский, 33 к.1</t>
  </si>
  <si>
    <t>Ораниенбаумский, 33 к.2</t>
  </si>
  <si>
    <t>Ораниенбаумский, 33 к.3</t>
  </si>
  <si>
    <t>Ораниенбаумский, 37 к.1</t>
  </si>
  <si>
    <t>Ораниенбаумский, 37 к.2</t>
  </si>
  <si>
    <t>Ораниенбаумский, 37 к.3</t>
  </si>
  <si>
    <t>Ораниенбаумский, 39 к.2</t>
  </si>
  <si>
    <t>Ораниенбаумский, 43 к.1</t>
  </si>
  <si>
    <t>Ораниенбаумский, 43 к.2</t>
  </si>
  <si>
    <t>Ораниенбаумский, 43 к.3</t>
  </si>
  <si>
    <t>Ораниенбаумский, 45 к.3</t>
  </si>
  <si>
    <t>Ораниенбаумский, 47</t>
  </si>
  <si>
    <t>Ораниенбаумский, 49 к.1</t>
  </si>
  <si>
    <t>Петровский,   4</t>
  </si>
  <si>
    <t>до 1970</t>
  </si>
  <si>
    <t xml:space="preserve">Пионерлагерь,  74         </t>
  </si>
  <si>
    <t>Победы,   1</t>
  </si>
  <si>
    <t>до 1963</t>
  </si>
  <si>
    <t>Победы,   2</t>
  </si>
  <si>
    <t>до 1968</t>
  </si>
  <si>
    <t>Победы,   3</t>
  </si>
  <si>
    <t>Победы,   3а</t>
  </si>
  <si>
    <t>Победы,   5</t>
  </si>
  <si>
    <t>Победы,   9</t>
  </si>
  <si>
    <t>Победы,  11</t>
  </si>
  <si>
    <t>Победы,  11а</t>
  </si>
  <si>
    <t>Победы,  11б</t>
  </si>
  <si>
    <t>Победы,  12</t>
  </si>
  <si>
    <t>Победы,  15</t>
  </si>
  <si>
    <t>Победы,  19</t>
  </si>
  <si>
    <t>Победы,  20 корпус 1</t>
  </si>
  <si>
    <t>Победы,  21</t>
  </si>
  <si>
    <t>Победы,  21а</t>
  </si>
  <si>
    <t>Победы,  22/   7</t>
  </si>
  <si>
    <t>Победы,  23</t>
  </si>
  <si>
    <t>Победы, 16/12</t>
  </si>
  <si>
    <t xml:space="preserve"> 5-7-9</t>
  </si>
  <si>
    <t>Победы, 32 корпус 2</t>
  </si>
  <si>
    <t>Победы, 34 корпус 1</t>
  </si>
  <si>
    <t>Победы, 36 корпус 1</t>
  </si>
  <si>
    <t>Победы, 36 корпус 2</t>
  </si>
  <si>
    <t>Победы, 6</t>
  </si>
  <si>
    <t>Промышленный пер,  13</t>
  </si>
  <si>
    <t>Профсоюзная,   6</t>
  </si>
  <si>
    <t>Профсоюзная,  11а</t>
  </si>
  <si>
    <t>Профсоюзная,  24</t>
  </si>
  <si>
    <t>Профсоюзная,  25</t>
  </si>
  <si>
    <t>Профсоюзная,  26</t>
  </si>
  <si>
    <t>до 1960</t>
  </si>
  <si>
    <t>Пулеметчиков,  20</t>
  </si>
  <si>
    <t>до 1973</t>
  </si>
  <si>
    <t>Заводская,   6</t>
  </si>
  <si>
    <t>Пулеметчиков,  20а</t>
  </si>
  <si>
    <t>Репина,   7</t>
  </si>
  <si>
    <t>Рубакина,  12</t>
  </si>
  <si>
    <t>Сафронова,   1</t>
  </si>
  <si>
    <t>Сафронова,   1а</t>
  </si>
  <si>
    <t>Сафронова,   2</t>
  </si>
  <si>
    <t>Сафронова,   3</t>
  </si>
  <si>
    <t>Сафронова,   3а</t>
  </si>
  <si>
    <t>Сафронова,   4</t>
  </si>
  <si>
    <t>Сафронова,   6</t>
  </si>
  <si>
    <t>Сафронова,   8</t>
  </si>
  <si>
    <t>Сафронова,  10</t>
  </si>
  <si>
    <t>Связи,  30</t>
  </si>
  <si>
    <t>Сидоровский канал,   2</t>
  </si>
  <si>
    <t>Скуридина,   1</t>
  </si>
  <si>
    <t>Скуридина,   2</t>
  </si>
  <si>
    <t>Скуридина,   3</t>
  </si>
  <si>
    <t>Скуридина,   6</t>
  </si>
  <si>
    <t>Скуридина,   9</t>
  </si>
  <si>
    <t>Токарева,   8</t>
  </si>
  <si>
    <t>Токарева,  10</t>
  </si>
  <si>
    <t>Токарева,  18а</t>
  </si>
  <si>
    <t>до 1978</t>
  </si>
  <si>
    <t>Токарева,  20</t>
  </si>
  <si>
    <t xml:space="preserve">Федюнинского,  3 корпус 1      </t>
  </si>
  <si>
    <t>до 1975</t>
  </si>
  <si>
    <t xml:space="preserve">Федюнинского,  3 корпус 2     </t>
  </si>
  <si>
    <t>Федюнинского,  3 корпус 3</t>
  </si>
  <si>
    <t>Федюнинского,  5 корпус 1</t>
  </si>
  <si>
    <t>Федюнинского,  5 корпус 2</t>
  </si>
  <si>
    <t>Федюнинского,  5 корпус 4</t>
  </si>
  <si>
    <t>Федюнинского, 14 к 1</t>
  </si>
  <si>
    <t xml:space="preserve">Федюнинского, 16 </t>
  </si>
  <si>
    <t>Федюнинского,14 корпус 2</t>
  </si>
  <si>
    <t>Центральная,   9</t>
  </si>
  <si>
    <t>Черникова,  19</t>
  </si>
  <si>
    <t>Черникова,  22</t>
  </si>
  <si>
    <t>Швейцарская ,  18 корпус 2</t>
  </si>
  <si>
    <t>Швейцарская,   2</t>
  </si>
  <si>
    <t>Швейцарская,   6</t>
  </si>
  <si>
    <t>Швейцарская,   7</t>
  </si>
  <si>
    <t xml:space="preserve">Швейцарская,   8 корпус 1   </t>
  </si>
  <si>
    <t>Швейцарская,   8 корпус 2</t>
  </si>
  <si>
    <t>Швейцарская,   9</t>
  </si>
  <si>
    <t>Швейцарская,  10</t>
  </si>
  <si>
    <t xml:space="preserve">Швейцарская,  14           </t>
  </si>
  <si>
    <t>Швейцарская,  15</t>
  </si>
  <si>
    <t xml:space="preserve">Швейцарская,  16 корпус 1   </t>
  </si>
  <si>
    <t xml:space="preserve">Швейцарская,  18 корпус 1   </t>
  </si>
  <si>
    <t>Швейцарская, 1</t>
  </si>
  <si>
    <t>Швейцарская, 24</t>
  </si>
  <si>
    <t>Итого, по договорам на упрапвление</t>
  </si>
  <si>
    <t>Общеполез, Площадь жилых помещений,</t>
  </si>
  <si>
    <t>Кол-по подъездов</t>
  </si>
  <si>
    <t xml:space="preserve"> м2</t>
  </si>
  <si>
    <t>Заварина,   5</t>
  </si>
  <si>
    <t>расселен</t>
  </si>
  <si>
    <t>Заварина,  27</t>
  </si>
  <si>
    <t>Заводская,   1а</t>
  </si>
  <si>
    <t>Заводская,  19</t>
  </si>
  <si>
    <t>Ивановская,  14</t>
  </si>
  <si>
    <t>Иликовский,  24б</t>
  </si>
  <si>
    <t>Кирочная,  27</t>
  </si>
  <si>
    <t>Морская,  52</t>
  </si>
  <si>
    <t>Павловский пер,,  14</t>
  </si>
  <si>
    <t>Связи,  24</t>
  </si>
  <si>
    <t>Связи,  25</t>
  </si>
  <si>
    <t>Связи,  26</t>
  </si>
  <si>
    <t>Центральная,   8</t>
  </si>
  <si>
    <t>Черникова,  24</t>
  </si>
  <si>
    <t>Михайловская 19а</t>
  </si>
  <si>
    <t>ТСЖ</t>
  </si>
  <si>
    <t>Дворцовый 59</t>
  </si>
  <si>
    <t>Всего</t>
  </si>
  <si>
    <r>
      <t xml:space="preserve"> м</t>
    </r>
    <r>
      <rPr>
        <b/>
        <vertAlign val="superscript"/>
        <sz val="12"/>
        <rFont val="Times New Roman"/>
        <family val="1"/>
      </rPr>
      <t>2
не начисляется</t>
    </r>
  </si>
  <si>
    <t>Отчёт по доходам и расходам по домам 2012</t>
  </si>
  <si>
    <t>Месячный доход по статье текущий ремонт</t>
  </si>
  <si>
    <t>Итого Объем</t>
  </si>
  <si>
    <t>тыс.м2</t>
  </si>
  <si>
    <t>Дворцовый пр,  59</t>
  </si>
  <si>
    <t>Ал.21а, Двор.40, Победы 30к.2</t>
  </si>
  <si>
    <t>Ремонт лестничных клеток ППР + УСП</t>
  </si>
  <si>
    <t>шт</t>
  </si>
  <si>
    <t>Ремонт и замена дверей</t>
  </si>
  <si>
    <t>Ремонт и замена дверей, решёток (металлические)</t>
  </si>
  <si>
    <t xml:space="preserve">Ремонт и замена оконных заполнений </t>
  </si>
  <si>
    <t>Ремонт и замена отдельных участков полов (МОП)</t>
  </si>
  <si>
    <t>Стыки</t>
  </si>
  <si>
    <t>Скуридина 9</t>
  </si>
  <si>
    <t>кв 45</t>
  </si>
  <si>
    <t>Победы 36/1</t>
  </si>
  <si>
    <t>кв 101</t>
  </si>
  <si>
    <t>Швейцарская 9</t>
  </si>
  <si>
    <t>кв 73</t>
  </si>
  <si>
    <t>Федюнинского 14/2</t>
  </si>
  <si>
    <t>кв 35</t>
  </si>
  <si>
    <t>Федюнинского 5/4</t>
  </si>
  <si>
    <t>кв 58</t>
  </si>
  <si>
    <t>Федюнинского 3/2</t>
  </si>
  <si>
    <t>кв 1,84,59,33,36,</t>
  </si>
  <si>
    <t>Федюнинского 3/3</t>
  </si>
  <si>
    <t>Федюнинского 5/2</t>
  </si>
  <si>
    <t>Ораниенбаумский  39/2</t>
  </si>
  <si>
    <t>кв 53</t>
  </si>
  <si>
    <t>Ораниенбаумский  37/3</t>
  </si>
  <si>
    <t>кв 68,</t>
  </si>
  <si>
    <t>Ораниенбаумский  21</t>
  </si>
  <si>
    <t>кв 143,21,30,31,32</t>
  </si>
  <si>
    <t>Ораниенбаумский  43/3</t>
  </si>
  <si>
    <t>кв 41,45</t>
  </si>
  <si>
    <t>Ораниенбаумский  27</t>
  </si>
  <si>
    <t>кв 15,24</t>
  </si>
  <si>
    <t>Ораниенбаумский  45/3</t>
  </si>
  <si>
    <t>кв 46,47,74</t>
  </si>
  <si>
    <t>Ораниенбаумский  47</t>
  </si>
  <si>
    <t>кв 5,36,37,33,60,68,65</t>
  </si>
  <si>
    <t>Александровская 33</t>
  </si>
  <si>
    <t>кв 68,76,15</t>
  </si>
  <si>
    <t>Некрасова 1/1</t>
  </si>
  <si>
    <t>кв 10,16,18,61,29,45,55</t>
  </si>
  <si>
    <t>Некрасова 1/2</t>
  </si>
  <si>
    <t>кв 9,1,3,4,61,66,69,72</t>
  </si>
  <si>
    <t>Александровская 31</t>
  </si>
  <si>
    <t>кв 1,3,5,9,13,17,22,32,65</t>
  </si>
  <si>
    <t>т.р.</t>
  </si>
  <si>
    <t>Александровская 45</t>
  </si>
  <si>
    <t>кв 14</t>
  </si>
  <si>
    <t>Ораниенбаумский 21</t>
  </si>
  <si>
    <t>кв 12,36,39,91</t>
  </si>
  <si>
    <t>Ораниенбаумский 31</t>
  </si>
  <si>
    <t>кв 69</t>
  </si>
  <si>
    <t>Ораниенбаумский 33/1</t>
  </si>
  <si>
    <t>кв 32,49,62,66,70</t>
  </si>
  <si>
    <t>Ораниенбаумский  33/2</t>
  </si>
  <si>
    <t>кв 9,24,25,31,51,53</t>
  </si>
  <si>
    <t>Ораниенбаумский  33/3</t>
  </si>
  <si>
    <t>кв 28,33,36</t>
  </si>
  <si>
    <t>Ораниенбаумский  37/1</t>
  </si>
  <si>
    <t>кв 15,176,192,243</t>
  </si>
  <si>
    <t>Ораниенбаумский  37/2</t>
  </si>
  <si>
    <t>кв 6,15</t>
  </si>
  <si>
    <t>кв 238</t>
  </si>
  <si>
    <t>Ораниенбаумский  43/2</t>
  </si>
  <si>
    <t>кв 33</t>
  </si>
  <si>
    <t>кв 72</t>
  </si>
  <si>
    <t>Ораниенбаумский  49/1</t>
  </si>
  <si>
    <t>кв 36,71</t>
  </si>
  <si>
    <t>кв 8,32,322</t>
  </si>
  <si>
    <t>Петровский 4</t>
  </si>
  <si>
    <t>кв 8</t>
  </si>
  <si>
    <t>кв 23,26,29,20,17,7,13,14</t>
  </si>
  <si>
    <t>кв 60</t>
  </si>
  <si>
    <t>Федюнинского 14/1</t>
  </si>
  <si>
    <t>кв280,284</t>
  </si>
  <si>
    <t>кв 26</t>
  </si>
  <si>
    <t>Швейцарская 6</t>
  </si>
  <si>
    <t>кв 86,87,9</t>
  </si>
  <si>
    <t>1360 пм</t>
  </si>
  <si>
    <t>Ораниенбаумский 29</t>
  </si>
  <si>
    <t>кв 46,49,52,55,58,12,14,10</t>
  </si>
  <si>
    <t>кв 34,62</t>
  </si>
  <si>
    <t>Ораниенбаумский 33/2</t>
  </si>
  <si>
    <t>кв 28</t>
  </si>
  <si>
    <t>Ораниенбаумский 33/3</t>
  </si>
  <si>
    <t>кв 28,33</t>
  </si>
  <si>
    <t>Ораниенбаумский 37/1</t>
  </si>
  <si>
    <t>кв 145,101,103,157</t>
  </si>
  <si>
    <t>Ораниенбаумский 37/2</t>
  </si>
  <si>
    <t>кв 3,54,6,15</t>
  </si>
  <si>
    <t>Ораниенбаумский 43/2</t>
  </si>
  <si>
    <t>кв 16,12</t>
  </si>
  <si>
    <t>Победы 32/2</t>
  </si>
  <si>
    <t>кв 14,13</t>
  </si>
  <si>
    <t>Победы 34/1</t>
  </si>
  <si>
    <t>2 л.кл,  4л.кл</t>
  </si>
  <si>
    <t>Победы 36/2</t>
  </si>
  <si>
    <t>кв 250,34</t>
  </si>
  <si>
    <t>Профсоюзная 11а</t>
  </si>
  <si>
    <t>Скуридина 2</t>
  </si>
  <si>
    <t>кв 1,4,7,10,45,13,48,45</t>
  </si>
  <si>
    <t>249, 4</t>
  </si>
  <si>
    <t>Швейцарская 2</t>
  </si>
  <si>
    <t>13,15,18,10,89</t>
  </si>
  <si>
    <t>кв</t>
  </si>
  <si>
    <t>1635 пм</t>
  </si>
  <si>
    <t>кв 77,78</t>
  </si>
  <si>
    <t>кв 106</t>
  </si>
  <si>
    <t>Ораниенбаумский 27</t>
  </si>
  <si>
    <t>кв 3</t>
  </si>
  <si>
    <t>кв 2</t>
  </si>
  <si>
    <t>кв 25</t>
  </si>
  <si>
    <t>Костылева 16</t>
  </si>
  <si>
    <t>195 пм</t>
  </si>
  <si>
    <t>976 пм (2471пм- показано)</t>
  </si>
  <si>
    <t>т.м2</t>
  </si>
  <si>
    <t>Общеполезная площадь</t>
  </si>
  <si>
    <t>Технические осмотры</t>
  </si>
  <si>
    <t>Аварийное обслуживание</t>
  </si>
  <si>
    <t>Подготовка домов к сезонной эксплуатации</t>
  </si>
  <si>
    <t>Услуги по заявочному ремонту</t>
  </si>
  <si>
    <t>Услуги по деретизации и дезинсекции</t>
  </si>
  <si>
    <t>услуги по аренде прямых проводов. Транспортные расходы</t>
  </si>
  <si>
    <t>Замер сопротивления  изоляции проводов</t>
  </si>
  <si>
    <t>Обслуживание ОДС</t>
  </si>
  <si>
    <t>Огнезащитная обработка деревянных конструкций</t>
  </si>
  <si>
    <t>Очистка кровли от наледи и уборка снега</t>
  </si>
  <si>
    <t>Всего содержание общего имущества</t>
  </si>
  <si>
    <t>Вывоз ТБО</t>
  </si>
  <si>
    <t>Ремонт стыков стеновых панелей</t>
  </si>
  <si>
    <t>Монтаж и замена водосточных труб</t>
  </si>
  <si>
    <t>Ремонт лестничных клеток</t>
  </si>
  <si>
    <t>итого текущий ремонт</t>
  </si>
  <si>
    <t>Текущий ремонт общего имущества в многоквартирном доме</t>
  </si>
  <si>
    <t>Уборка и санитарно-гигиеническая очистка земельного участка</t>
  </si>
  <si>
    <t>Очистка мусоропроводов</t>
  </si>
  <si>
    <t>Содержание и ремонт переговорно-замочного устройства</t>
  </si>
  <si>
    <t>Содержание и текущий ремонт внутридомовых инженерных систем газоснабжения</t>
  </si>
  <si>
    <t>Содержание и ремонт лифтов</t>
  </si>
  <si>
    <t>Комплексное техническое обслуживание лифтов</t>
  </si>
  <si>
    <t>Диагностирование лифтов</t>
  </si>
  <si>
    <t>итого содержание и ремонт лифтов</t>
  </si>
  <si>
    <t>Управление многоквартирным домом</t>
  </si>
  <si>
    <t>Эксплуатация коллективных (общедомовых) приборов учета используемых энергетических ресурсов</t>
  </si>
  <si>
    <t>Всего расходов</t>
  </si>
  <si>
    <t>В тыс.руб.</t>
  </si>
  <si>
    <r>
      <t>Другие работы</t>
    </r>
    <r>
      <rPr>
        <sz val="9"/>
        <color indexed="8"/>
        <rFont val="Calibri"/>
        <family val="2"/>
      </rPr>
      <t xml:space="preserve"> (Эл/технически и сантехнич.работы ,ремонт балконов, козырьков, лестниц, квартир...)</t>
    </r>
  </si>
  <si>
    <t>Уборка лестничных клеток</t>
  </si>
  <si>
    <t>Изоляция верхней разводки системы отопления (ТВР)</t>
  </si>
  <si>
    <t>Очистка вент каналов и дымоходов</t>
  </si>
  <si>
    <t>2011 год</t>
  </si>
  <si>
    <t>2012 год</t>
  </si>
  <si>
    <t>в плане</t>
  </si>
  <si>
    <t xml:space="preserve"> вып.доп.</t>
  </si>
  <si>
    <t>Ораниенбаумский 43 корп.3</t>
  </si>
  <si>
    <t>сантехники</t>
  </si>
  <si>
    <t>электрики</t>
  </si>
  <si>
    <t>содер.восстановление освещения</t>
  </si>
  <si>
    <t>в руб</t>
  </si>
  <si>
    <t>в т.р.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</si>
</sst>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0.000"/>
    <numFmt numFmtId="184" formatCode="0.00000"/>
    <numFmt numFmtId="185" formatCode="0.0000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DA9D9A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 diagonalDown="1">
      <left style="hair"/>
      <right style="medium"/>
      <top style="hair"/>
      <bottom style="hair"/>
      <diagonal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right" vertical="top"/>
    </xf>
    <xf numFmtId="1" fontId="7" fillId="0" borderId="10" xfId="0" applyNumberFormat="1" applyFont="1" applyFill="1" applyBorder="1" applyAlignment="1" applyProtection="1">
      <alignment/>
      <protection locked="0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 wrapText="1"/>
    </xf>
    <xf numFmtId="1" fontId="7" fillId="33" borderId="1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 wrapText="1"/>
    </xf>
    <xf numFmtId="181" fontId="2" fillId="33" borderId="10" xfId="0" applyNumberFormat="1" applyFont="1" applyFill="1" applyBorder="1" applyAlignment="1">
      <alignment wrapText="1"/>
    </xf>
    <xf numFmtId="181" fontId="2" fillId="33" borderId="1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 wrapText="1"/>
    </xf>
    <xf numFmtId="181" fontId="2" fillId="34" borderId="10" xfId="0" applyNumberFormat="1" applyFont="1" applyFill="1" applyBorder="1" applyAlignment="1">
      <alignment wrapText="1"/>
    </xf>
    <xf numFmtId="181" fontId="2" fillId="34" borderId="10" xfId="0" applyNumberFormat="1" applyFont="1" applyFill="1" applyBorder="1" applyAlignment="1">
      <alignment/>
    </xf>
    <xf numFmtId="0" fontId="2" fillId="34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wrapText="1"/>
    </xf>
    <xf numFmtId="181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justify" vertical="top" wrapText="1"/>
    </xf>
    <xf numFmtId="1" fontId="7" fillId="34" borderId="10" xfId="0" applyNumberFormat="1" applyFont="1" applyFill="1" applyBorder="1" applyAlignment="1" applyProtection="1">
      <alignment/>
      <protection locked="0"/>
    </xf>
    <xf numFmtId="183" fontId="1" fillId="0" borderId="0" xfId="0" applyNumberFormat="1" applyFont="1" applyAlignment="1">
      <alignment/>
    </xf>
    <xf numFmtId="183" fontId="2" fillId="0" borderId="0" xfId="0" applyNumberFormat="1" applyFont="1" applyBorder="1" applyAlignment="1">
      <alignment/>
    </xf>
    <xf numFmtId="183" fontId="2" fillId="0" borderId="10" xfId="0" applyNumberFormat="1" applyFont="1" applyBorder="1" applyAlignment="1">
      <alignment wrapText="1"/>
    </xf>
    <xf numFmtId="183" fontId="2" fillId="34" borderId="10" xfId="0" applyNumberFormat="1" applyFont="1" applyFill="1" applyBorder="1" applyAlignment="1">
      <alignment wrapText="1"/>
    </xf>
    <xf numFmtId="183" fontId="2" fillId="33" borderId="10" xfId="0" applyNumberFormat="1" applyFont="1" applyFill="1" applyBorder="1" applyAlignment="1">
      <alignment wrapText="1"/>
    </xf>
    <xf numFmtId="183" fontId="2" fillId="0" borderId="10" xfId="0" applyNumberFormat="1" applyFont="1" applyFill="1" applyBorder="1" applyAlignment="1">
      <alignment wrapText="1"/>
    </xf>
    <xf numFmtId="183" fontId="2" fillId="0" borderId="0" xfId="0" applyNumberFormat="1" applyFont="1" applyAlignment="1">
      <alignment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NumberFormat="1" applyFont="1" applyFill="1" applyBorder="1" applyAlignment="1">
      <alignment horizontal="right" vertical="top"/>
    </xf>
    <xf numFmtId="0" fontId="2" fillId="35" borderId="10" xfId="0" applyNumberFormat="1" applyFont="1" applyFill="1" applyBorder="1" applyAlignment="1">
      <alignment horizontal="right" vertical="top" wrapText="1"/>
    </xf>
    <xf numFmtId="1" fontId="7" fillId="35" borderId="10" xfId="0" applyNumberFormat="1" applyFont="1" applyFill="1" applyBorder="1" applyAlignment="1" applyProtection="1">
      <alignment/>
      <protection locked="0"/>
    </xf>
    <xf numFmtId="0" fontId="2" fillId="35" borderId="10" xfId="0" applyNumberFormat="1" applyFont="1" applyFill="1" applyBorder="1" applyAlignment="1">
      <alignment/>
    </xf>
    <xf numFmtId="180" fontId="2" fillId="35" borderId="10" xfId="0" applyNumberFormat="1" applyFont="1" applyFill="1" applyBorder="1" applyAlignment="1">
      <alignment/>
    </xf>
    <xf numFmtId="180" fontId="2" fillId="35" borderId="10" xfId="0" applyNumberFormat="1" applyFont="1" applyFill="1" applyBorder="1" applyAlignment="1">
      <alignment wrapText="1"/>
    </xf>
    <xf numFmtId="183" fontId="2" fillId="35" borderId="10" xfId="0" applyNumberFormat="1" applyFont="1" applyFill="1" applyBorder="1" applyAlignment="1">
      <alignment wrapText="1"/>
    </xf>
    <xf numFmtId="181" fontId="2" fillId="35" borderId="10" xfId="0" applyNumberFormat="1" applyFont="1" applyFill="1" applyBorder="1" applyAlignment="1">
      <alignment wrapText="1"/>
    </xf>
    <xf numFmtId="181" fontId="2" fillId="35" borderId="10" xfId="0" applyNumberFormat="1" applyFont="1" applyFill="1" applyBorder="1" applyAlignment="1">
      <alignment/>
    </xf>
    <xf numFmtId="0" fontId="2" fillId="35" borderId="0" xfId="0" applyNumberFormat="1" applyFont="1" applyFill="1" applyAlignment="1">
      <alignment/>
    </xf>
    <xf numFmtId="0" fontId="2" fillId="35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horizontal="right"/>
    </xf>
    <xf numFmtId="181" fontId="2" fillId="9" borderId="10" xfId="0" applyNumberFormat="1" applyFont="1" applyFill="1" applyBorder="1" applyAlignment="1">
      <alignment wrapText="1"/>
    </xf>
    <xf numFmtId="181" fontId="2" fillId="36" borderId="10" xfId="0" applyNumberFormat="1" applyFont="1" applyFill="1" applyBorder="1" applyAlignment="1">
      <alignment wrapText="1"/>
    </xf>
    <xf numFmtId="181" fontId="2" fillId="36" borderId="10" xfId="0" applyNumberFormat="1" applyFont="1" applyFill="1" applyBorder="1" applyAlignment="1">
      <alignment horizontal="right" wrapText="1"/>
    </xf>
    <xf numFmtId="181" fontId="2" fillId="37" borderId="10" xfId="0" applyNumberFormat="1" applyFont="1" applyFill="1" applyBorder="1" applyAlignment="1">
      <alignment wrapText="1"/>
    </xf>
    <xf numFmtId="181" fontId="2" fillId="8" borderId="10" xfId="0" applyNumberFormat="1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wrapText="1"/>
    </xf>
    <xf numFmtId="183" fontId="2" fillId="38" borderId="10" xfId="0" applyNumberFormat="1" applyFont="1" applyFill="1" applyBorder="1" applyAlignment="1">
      <alignment wrapText="1"/>
    </xf>
    <xf numFmtId="183" fontId="2" fillId="39" borderId="10" xfId="0" applyNumberFormat="1" applyFont="1" applyFill="1" applyBorder="1" applyAlignment="1">
      <alignment wrapText="1"/>
    </xf>
    <xf numFmtId="181" fontId="2" fillId="6" borderId="10" xfId="0" applyNumberFormat="1" applyFont="1" applyFill="1" applyBorder="1" applyAlignment="1">
      <alignment wrapText="1"/>
    </xf>
    <xf numFmtId="181" fontId="2" fillId="13" borderId="10" xfId="0" applyNumberFormat="1" applyFont="1" applyFill="1" applyBorder="1" applyAlignment="1">
      <alignment wrapText="1"/>
    </xf>
    <xf numFmtId="181" fontId="2" fillId="10" borderId="10" xfId="0" applyNumberFormat="1" applyFont="1" applyFill="1" applyBorder="1" applyAlignment="1">
      <alignment wrapText="1"/>
    </xf>
    <xf numFmtId="181" fontId="2" fillId="40" borderId="10" xfId="0" applyNumberFormat="1" applyFont="1" applyFill="1" applyBorder="1" applyAlignment="1">
      <alignment wrapText="1"/>
    </xf>
    <xf numFmtId="181" fontId="2" fillId="5" borderId="10" xfId="0" applyNumberFormat="1" applyFont="1" applyFill="1" applyBorder="1" applyAlignment="1">
      <alignment wrapText="1"/>
    </xf>
    <xf numFmtId="181" fontId="2" fillId="5" borderId="10" xfId="0" applyNumberFormat="1" applyFont="1" applyFill="1" applyBorder="1" applyAlignment="1">
      <alignment horizontal="right" wrapText="1"/>
    </xf>
    <xf numFmtId="181" fontId="2" fillId="11" borderId="10" xfId="0" applyNumberFormat="1" applyFont="1" applyFill="1" applyBorder="1" applyAlignment="1">
      <alignment wrapText="1"/>
    </xf>
    <xf numFmtId="181" fontId="2" fillId="11" borderId="10" xfId="0" applyNumberFormat="1" applyFont="1" applyFill="1" applyBorder="1" applyAlignment="1">
      <alignment horizontal="right" wrapText="1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183" fontId="2" fillId="36" borderId="14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183" fontId="2" fillId="8" borderId="14" xfId="0" applyNumberFormat="1" applyFont="1" applyFill="1" applyBorder="1" applyAlignment="1">
      <alignment horizontal="center"/>
    </xf>
    <xf numFmtId="183" fontId="2" fillId="15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183" fontId="2" fillId="39" borderId="19" xfId="0" applyNumberFormat="1" applyFont="1" applyFill="1" applyBorder="1" applyAlignment="1">
      <alignment horizontal="center"/>
    </xf>
    <xf numFmtId="0" fontId="2" fillId="40" borderId="16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11" borderId="16" xfId="0" applyNumberFormat="1" applyFont="1" applyFill="1" applyBorder="1" applyAlignment="1">
      <alignment horizontal="center"/>
    </xf>
    <xf numFmtId="0" fontId="2" fillId="19" borderId="16" xfId="0" applyNumberFormat="1" applyFont="1" applyFill="1" applyBorder="1" applyAlignment="1">
      <alignment horizontal="center"/>
    </xf>
    <xf numFmtId="181" fontId="2" fillId="41" borderId="10" xfId="0" applyNumberFormat="1" applyFont="1" applyFill="1" applyBorder="1" applyAlignment="1">
      <alignment wrapText="1"/>
    </xf>
    <xf numFmtId="0" fontId="2" fillId="41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7" xfId="0" applyBorder="1" applyAlignment="1">
      <alignment/>
    </xf>
    <xf numFmtId="183" fontId="0" fillId="0" borderId="0" xfId="0" applyNumberFormat="1" applyAlignment="1">
      <alignment/>
    </xf>
    <xf numFmtId="183" fontId="0" fillId="0" borderId="27" xfId="0" applyNumberFormat="1" applyBorder="1" applyAlignment="1">
      <alignment/>
    </xf>
    <xf numFmtId="183" fontId="9" fillId="0" borderId="24" xfId="0" applyNumberFormat="1" applyFont="1" applyBorder="1" applyAlignment="1">
      <alignment/>
    </xf>
    <xf numFmtId="183" fontId="0" fillId="0" borderId="36" xfId="0" applyNumberFormat="1" applyBorder="1" applyAlignment="1">
      <alignment/>
    </xf>
    <xf numFmtId="183" fontId="0" fillId="0" borderId="29" xfId="0" applyNumberFormat="1" applyBorder="1" applyAlignment="1">
      <alignment/>
    </xf>
    <xf numFmtId="183" fontId="0" fillId="0" borderId="38" xfId="0" applyNumberFormat="1" applyBorder="1" applyAlignment="1">
      <alignment/>
    </xf>
    <xf numFmtId="0" fontId="9" fillId="0" borderId="23" xfId="0" applyFont="1" applyBorder="1" applyAlignment="1">
      <alignment/>
    </xf>
    <xf numFmtId="181" fontId="2" fillId="42" borderId="10" xfId="0" applyNumberFormat="1" applyFont="1" applyFill="1" applyBorder="1" applyAlignment="1">
      <alignment wrapText="1"/>
    </xf>
    <xf numFmtId="181" fontId="2" fillId="43" borderId="10" xfId="0" applyNumberFormat="1" applyFont="1" applyFill="1" applyBorder="1" applyAlignment="1">
      <alignment wrapText="1"/>
    </xf>
    <xf numFmtId="181" fontId="2" fillId="44" borderId="10" xfId="0" applyNumberFormat="1" applyFont="1" applyFill="1" applyBorder="1" applyAlignment="1">
      <alignment wrapText="1"/>
    </xf>
    <xf numFmtId="181" fontId="2" fillId="45" borderId="10" xfId="0" applyNumberFormat="1" applyFont="1" applyFill="1" applyBorder="1" applyAlignment="1">
      <alignment wrapText="1"/>
    </xf>
    <xf numFmtId="0" fontId="2" fillId="45" borderId="16" xfId="0" applyNumberFormat="1" applyFont="1" applyFill="1" applyBorder="1" applyAlignment="1">
      <alignment horizontal="center"/>
    </xf>
    <xf numFmtId="0" fontId="2" fillId="46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/>
    </xf>
    <xf numFmtId="181" fontId="2" fillId="10" borderId="10" xfId="0" applyNumberFormat="1" applyFont="1" applyFill="1" applyBorder="1" applyAlignment="1">
      <alignment/>
    </xf>
    <xf numFmtId="0" fontId="47" fillId="0" borderId="39" xfId="53" applyFont="1" applyBorder="1" applyAlignment="1">
      <alignment vertical="center"/>
      <protection/>
    </xf>
    <xf numFmtId="0" fontId="47" fillId="10" borderId="40" xfId="53" applyFont="1" applyFill="1" applyBorder="1" applyAlignment="1">
      <alignment wrapText="1"/>
      <protection/>
    </xf>
    <xf numFmtId="0" fontId="0" fillId="0" borderId="41" xfId="0" applyFont="1" applyBorder="1" applyAlignment="1">
      <alignment horizontal="center"/>
    </xf>
    <xf numFmtId="0" fontId="34" fillId="38" borderId="39" xfId="53" applyFont="1" applyFill="1" applyBorder="1" applyAlignment="1">
      <alignment horizontal="left" vertical="center" wrapText="1"/>
      <protection/>
    </xf>
    <xf numFmtId="0" fontId="47" fillId="10" borderId="39" xfId="53" applyFont="1" applyFill="1" applyBorder="1" applyAlignment="1">
      <alignment horizontal="left" vertical="center" wrapText="1"/>
      <protection/>
    </xf>
    <xf numFmtId="0" fontId="47" fillId="10" borderId="39" xfId="53" applyFont="1" applyFill="1" applyBorder="1" applyAlignment="1">
      <alignment horizontal="left" wrapText="1"/>
      <protection/>
    </xf>
    <xf numFmtId="0" fontId="38" fillId="0" borderId="42" xfId="53" applyBorder="1" applyAlignment="1">
      <alignment vertical="center" wrapText="1"/>
      <protection/>
    </xf>
    <xf numFmtId="0" fontId="38" fillId="0" borderId="43" xfId="53" applyBorder="1" applyAlignment="1">
      <alignment vertical="center" wrapText="1"/>
      <protection/>
    </xf>
    <xf numFmtId="0" fontId="38" fillId="0" borderId="43" xfId="53" applyFill="1" applyBorder="1" applyAlignment="1">
      <alignment vertical="center" wrapText="1"/>
      <protection/>
    </xf>
    <xf numFmtId="0" fontId="38" fillId="0" borderId="44" xfId="53" applyFont="1" applyFill="1" applyBorder="1" applyAlignment="1">
      <alignment horizontal="left" vertical="center" wrapText="1"/>
      <protection/>
    </xf>
    <xf numFmtId="0" fontId="47" fillId="0" borderId="45" xfId="53" applyFont="1" applyFill="1" applyBorder="1" applyAlignment="1">
      <alignment vertical="center" wrapText="1"/>
      <protection/>
    </xf>
    <xf numFmtId="0" fontId="47" fillId="0" borderId="46" xfId="53" applyFont="1" applyFill="1" applyBorder="1" applyAlignment="1">
      <alignment wrapText="1"/>
      <protection/>
    </xf>
    <xf numFmtId="0" fontId="38" fillId="0" borderId="42" xfId="53" applyBorder="1" applyAlignment="1">
      <alignment horizontal="left" wrapText="1"/>
      <protection/>
    </xf>
    <xf numFmtId="0" fontId="38" fillId="0" borderId="43" xfId="53" applyBorder="1" applyAlignment="1">
      <alignment horizontal="left" wrapText="1"/>
      <protection/>
    </xf>
    <xf numFmtId="0" fontId="38" fillId="0" borderId="44" xfId="53" applyBorder="1" applyAlignment="1">
      <alignment horizontal="left" wrapText="1"/>
      <protection/>
    </xf>
    <xf numFmtId="0" fontId="47" fillId="0" borderId="45" xfId="53" applyFont="1" applyBorder="1" applyAlignment="1">
      <alignment wrapText="1"/>
      <protection/>
    </xf>
    <xf numFmtId="0" fontId="47" fillId="0" borderId="43" xfId="53" applyFont="1" applyBorder="1" applyAlignment="1">
      <alignment wrapText="1"/>
      <protection/>
    </xf>
    <xf numFmtId="0" fontId="47" fillId="0" borderId="44" xfId="53" applyFont="1" applyBorder="1" applyAlignment="1">
      <alignment horizontal="left" wrapText="1"/>
      <protection/>
    </xf>
    <xf numFmtId="0" fontId="38" fillId="0" borderId="45" xfId="53" applyBorder="1" applyAlignment="1">
      <alignment horizontal="left" wrapText="1"/>
      <protection/>
    </xf>
    <xf numFmtId="0" fontId="47" fillId="0" borderId="42" xfId="53" applyFont="1" applyBorder="1" applyAlignment="1">
      <alignment wrapText="1"/>
      <protection/>
    </xf>
    <xf numFmtId="0" fontId="47" fillId="0" borderId="46" xfId="53" applyFont="1" applyBorder="1" applyAlignment="1">
      <alignment wrapText="1"/>
      <protection/>
    </xf>
    <xf numFmtId="183" fontId="12" fillId="0" borderId="41" xfId="53" applyNumberFormat="1" applyFont="1" applyBorder="1" applyAlignment="1">
      <alignment vertical="center"/>
      <protection/>
    </xf>
    <xf numFmtId="183" fontId="57" fillId="0" borderId="47" xfId="53" applyNumberFormat="1" applyFont="1" applyBorder="1" applyAlignment="1">
      <alignment vertical="center" wrapText="1"/>
      <protection/>
    </xf>
    <xf numFmtId="183" fontId="12" fillId="0" borderId="48" xfId="0" applyNumberFormat="1" applyFont="1" applyBorder="1" applyAlignment="1">
      <alignment vertical="center"/>
    </xf>
    <xf numFmtId="183" fontId="57" fillId="0" borderId="48" xfId="53" applyNumberFormat="1" applyFont="1" applyBorder="1" applyAlignment="1">
      <alignment vertical="center" wrapText="1"/>
      <protection/>
    </xf>
    <xf numFmtId="183" fontId="57" fillId="0" borderId="48" xfId="53" applyNumberFormat="1" applyFont="1" applyFill="1" applyBorder="1" applyAlignment="1">
      <alignment vertical="center" wrapText="1"/>
      <protection/>
    </xf>
    <xf numFmtId="183" fontId="12" fillId="0" borderId="49" xfId="0" applyNumberFormat="1" applyFont="1" applyBorder="1" applyAlignment="1">
      <alignment vertical="center"/>
    </xf>
    <xf numFmtId="183" fontId="13" fillId="10" borderId="41" xfId="0" applyNumberFormat="1" applyFont="1" applyFill="1" applyBorder="1" applyAlignment="1">
      <alignment vertical="center"/>
    </xf>
    <xf numFmtId="183" fontId="58" fillId="0" borderId="47" xfId="53" applyNumberFormat="1" applyFont="1" applyFill="1" applyBorder="1" applyAlignment="1">
      <alignment vertical="center" wrapText="1"/>
      <protection/>
    </xf>
    <xf numFmtId="183" fontId="13" fillId="0" borderId="49" xfId="0" applyNumberFormat="1" applyFont="1" applyBorder="1" applyAlignment="1">
      <alignment/>
    </xf>
    <xf numFmtId="183" fontId="12" fillId="0" borderId="41" xfId="0" applyNumberFormat="1" applyFont="1" applyBorder="1" applyAlignment="1">
      <alignment/>
    </xf>
    <xf numFmtId="183" fontId="57" fillId="0" borderId="47" xfId="53" applyNumberFormat="1" applyFont="1" applyBorder="1" applyAlignment="1">
      <alignment wrapText="1"/>
      <protection/>
    </xf>
    <xf numFmtId="183" fontId="12" fillId="0" borderId="48" xfId="0" applyNumberFormat="1" applyFont="1" applyBorder="1" applyAlignment="1">
      <alignment/>
    </xf>
    <xf numFmtId="183" fontId="12" fillId="0" borderId="50" xfId="0" applyNumberFormat="1" applyFont="1" applyBorder="1" applyAlignment="1">
      <alignment/>
    </xf>
    <xf numFmtId="183" fontId="13" fillId="10" borderId="41" xfId="0" applyNumberFormat="1" applyFont="1" applyFill="1" applyBorder="1" applyAlignment="1">
      <alignment/>
    </xf>
    <xf numFmtId="183" fontId="13" fillId="0" borderId="47" xfId="0" applyNumberFormat="1" applyFont="1" applyBorder="1" applyAlignment="1">
      <alignment/>
    </xf>
    <xf numFmtId="183" fontId="13" fillId="0" borderId="48" xfId="0" applyNumberFormat="1" applyFont="1" applyBorder="1" applyAlignment="1">
      <alignment/>
    </xf>
    <xf numFmtId="183" fontId="58" fillId="0" borderId="48" xfId="53" applyNumberFormat="1" applyFont="1" applyBorder="1" applyAlignment="1">
      <alignment wrapText="1"/>
      <protection/>
    </xf>
    <xf numFmtId="183" fontId="13" fillId="0" borderId="50" xfId="0" applyNumberFormat="1" applyFont="1" applyBorder="1" applyAlignment="1">
      <alignment/>
    </xf>
    <xf numFmtId="183" fontId="58" fillId="10" borderId="41" xfId="53" applyNumberFormat="1" applyFont="1" applyFill="1" applyBorder="1" applyAlignment="1">
      <alignment wrapText="1"/>
      <protection/>
    </xf>
    <xf numFmtId="183" fontId="58" fillId="0" borderId="47" xfId="53" applyNumberFormat="1" applyFont="1" applyBorder="1" applyAlignment="1">
      <alignment wrapText="1"/>
      <protection/>
    </xf>
    <xf numFmtId="183" fontId="58" fillId="0" borderId="49" xfId="53" applyNumberFormat="1" applyFont="1" applyBorder="1" applyAlignment="1">
      <alignment wrapText="1"/>
      <protection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1" xfId="0" applyFont="1" applyBorder="1" applyAlignment="1">
      <alignment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51" xfId="0" applyBorder="1" applyAlignment="1">
      <alignment/>
    </xf>
    <xf numFmtId="183" fontId="12" fillId="0" borderId="49" xfId="0" applyNumberFormat="1" applyFont="1" applyBorder="1" applyAlignment="1">
      <alignment/>
    </xf>
    <xf numFmtId="0" fontId="12" fillId="0" borderId="49" xfId="0" applyFont="1" applyBorder="1" applyAlignment="1">
      <alignment/>
    </xf>
    <xf numFmtId="183" fontId="57" fillId="0" borderId="52" xfId="53" applyNumberFormat="1" applyFont="1" applyBorder="1" applyAlignment="1">
      <alignment wrapText="1"/>
      <protection/>
    </xf>
    <xf numFmtId="0" fontId="12" fillId="0" borderId="52" xfId="0" applyFont="1" applyBorder="1" applyAlignment="1">
      <alignment/>
    </xf>
    <xf numFmtId="183" fontId="12" fillId="0" borderId="53" xfId="0" applyNumberFormat="1" applyFont="1" applyBorder="1" applyAlignment="1">
      <alignment/>
    </xf>
    <xf numFmtId="0" fontId="12" fillId="0" borderId="53" xfId="0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wrapText="1"/>
    </xf>
    <xf numFmtId="183" fontId="2" fillId="0" borderId="11" xfId="0" applyNumberFormat="1" applyFont="1" applyBorder="1" applyAlignment="1">
      <alignment wrapText="1"/>
    </xf>
    <xf numFmtId="181" fontId="2" fillId="41" borderId="11" xfId="0" applyNumberFormat="1" applyFont="1" applyFill="1" applyBorder="1" applyAlignment="1">
      <alignment wrapText="1"/>
    </xf>
    <xf numFmtId="181" fontId="2" fillId="0" borderId="11" xfId="0" applyNumberFormat="1" applyFont="1" applyBorder="1" applyAlignment="1">
      <alignment wrapText="1"/>
    </xf>
    <xf numFmtId="181" fontId="2" fillId="36" borderId="11" xfId="0" applyNumberFormat="1" applyFont="1" applyFill="1" applyBorder="1" applyAlignment="1">
      <alignment wrapText="1"/>
    </xf>
    <xf numFmtId="181" fontId="2" fillId="40" borderId="11" xfId="0" applyNumberFormat="1" applyFont="1" applyFill="1" applyBorder="1" applyAlignment="1">
      <alignment wrapText="1"/>
    </xf>
    <xf numFmtId="181" fontId="2" fillId="10" borderId="11" xfId="0" applyNumberFormat="1" applyFont="1" applyFill="1" applyBorder="1" applyAlignment="1">
      <alignment/>
    </xf>
    <xf numFmtId="0" fontId="0" fillId="0" borderId="54" xfId="0" applyBorder="1" applyAlignment="1">
      <alignment/>
    </xf>
    <xf numFmtId="1" fontId="2" fillId="0" borderId="54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0" fontId="2" fillId="0" borderId="54" xfId="0" applyNumberFormat="1" applyFont="1" applyBorder="1" applyAlignment="1">
      <alignment/>
    </xf>
    <xf numFmtId="180" fontId="1" fillId="0" borderId="54" xfId="0" applyNumberFormat="1" applyFont="1" applyBorder="1" applyAlignment="1">
      <alignment/>
    </xf>
    <xf numFmtId="181" fontId="1" fillId="0" borderId="54" xfId="0" applyNumberFormat="1" applyFont="1" applyBorder="1" applyAlignment="1">
      <alignment/>
    </xf>
    <xf numFmtId="181" fontId="1" fillId="9" borderId="54" xfId="0" applyNumberFormat="1" applyFont="1" applyFill="1" applyBorder="1" applyAlignment="1">
      <alignment/>
    </xf>
    <xf numFmtId="181" fontId="1" fillId="0" borderId="55" xfId="0" applyNumberFormat="1" applyFont="1" applyBorder="1" applyAlignment="1">
      <alignment/>
    </xf>
    <xf numFmtId="0" fontId="2" fillId="0" borderId="46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183" fontId="2" fillId="0" borderId="0" xfId="0" applyNumberFormat="1" applyFont="1" applyBorder="1" applyAlignment="1">
      <alignment wrapText="1"/>
    </xf>
    <xf numFmtId="0" fontId="2" fillId="0" borderId="56" xfId="0" applyNumberFormat="1" applyFont="1" applyBorder="1" applyAlignment="1">
      <alignment wrapText="1"/>
    </xf>
    <xf numFmtId="0" fontId="1" fillId="0" borderId="46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/>
    </xf>
    <xf numFmtId="0" fontId="2" fillId="0" borderId="59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/>
    </xf>
    <xf numFmtId="0" fontId="2" fillId="0" borderId="60" xfId="0" applyNumberFormat="1" applyFont="1" applyBorder="1" applyAlignment="1">
      <alignment horizontal="right"/>
    </xf>
    <xf numFmtId="183" fontId="2" fillId="0" borderId="60" xfId="0" applyNumberFormat="1" applyFont="1" applyBorder="1" applyAlignment="1">
      <alignment/>
    </xf>
    <xf numFmtId="0" fontId="2" fillId="0" borderId="61" xfId="0" applyNumberFormat="1" applyFont="1" applyBorder="1" applyAlignment="1">
      <alignment/>
    </xf>
    <xf numFmtId="181" fontId="2" fillId="47" borderId="10" xfId="0" applyNumberFormat="1" applyFont="1" applyFill="1" applyBorder="1" applyAlignment="1">
      <alignment wrapText="1"/>
    </xf>
    <xf numFmtId="181" fontId="2" fillId="48" borderId="10" xfId="0" applyNumberFormat="1" applyFont="1" applyFill="1" applyBorder="1" applyAlignment="1">
      <alignment wrapText="1"/>
    </xf>
    <xf numFmtId="0" fontId="2" fillId="47" borderId="0" xfId="0" applyNumberFormat="1" applyFont="1" applyFill="1" applyAlignment="1">
      <alignment horizontal="center"/>
    </xf>
    <xf numFmtId="0" fontId="2" fillId="48" borderId="0" xfId="0" applyNumberFormat="1" applyFont="1" applyFill="1" applyAlignment="1">
      <alignment horizontal="center"/>
    </xf>
    <xf numFmtId="181" fontId="1" fillId="47" borderId="54" xfId="0" applyNumberFormat="1" applyFont="1" applyFill="1" applyBorder="1" applyAlignment="1">
      <alignment/>
    </xf>
    <xf numFmtId="183" fontId="1" fillId="22" borderId="54" xfId="0" applyNumberFormat="1" applyFont="1" applyFill="1" applyBorder="1" applyAlignment="1">
      <alignment/>
    </xf>
    <xf numFmtId="181" fontId="1" fillId="37" borderId="54" xfId="0" applyNumberFormat="1" applyFont="1" applyFill="1" applyBorder="1" applyAlignment="1">
      <alignment/>
    </xf>
    <xf numFmtId="181" fontId="1" fillId="49" borderId="54" xfId="0" applyNumberFormat="1" applyFont="1" applyFill="1" applyBorder="1" applyAlignment="1">
      <alignment/>
    </xf>
    <xf numFmtId="181" fontId="1" fillId="10" borderId="54" xfId="0" applyNumberFormat="1" applyFont="1" applyFill="1" applyBorder="1" applyAlignment="1">
      <alignment/>
    </xf>
    <xf numFmtId="181" fontId="1" fillId="50" borderId="54" xfId="0" applyNumberFormat="1" applyFont="1" applyFill="1" applyBorder="1" applyAlignment="1">
      <alignment/>
    </xf>
    <xf numFmtId="181" fontId="1" fillId="51" borderId="54" xfId="0" applyNumberFormat="1" applyFont="1" applyFill="1" applyBorder="1" applyAlignment="1">
      <alignment/>
    </xf>
    <xf numFmtId="181" fontId="1" fillId="41" borderId="54" xfId="0" applyNumberFormat="1" applyFont="1" applyFill="1" applyBorder="1" applyAlignment="1">
      <alignment/>
    </xf>
    <xf numFmtId="181" fontId="1" fillId="36" borderId="54" xfId="0" applyNumberFormat="1" applyFont="1" applyFill="1" applyBorder="1" applyAlignment="1">
      <alignment/>
    </xf>
    <xf numFmtId="181" fontId="1" fillId="43" borderId="54" xfId="0" applyNumberFormat="1" applyFont="1" applyFill="1" applyBorder="1" applyAlignment="1">
      <alignment/>
    </xf>
    <xf numFmtId="181" fontId="1" fillId="15" borderId="54" xfId="0" applyNumberFormat="1" applyFont="1" applyFill="1" applyBorder="1" applyAlignment="1">
      <alignment/>
    </xf>
    <xf numFmtId="181" fontId="1" fillId="13" borderId="54" xfId="0" applyNumberFormat="1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 vertical="top" wrapText="1"/>
    </xf>
    <xf numFmtId="0" fontId="2" fillId="38" borderId="10" xfId="0" applyNumberFormat="1" applyFont="1" applyFill="1" applyBorder="1" applyAlignment="1">
      <alignment horizontal="center" vertical="top"/>
    </xf>
    <xf numFmtId="0" fontId="2" fillId="38" borderId="10" xfId="0" applyNumberFormat="1" applyFont="1" applyFill="1" applyBorder="1" applyAlignment="1">
      <alignment horizontal="justify" vertical="top" wrapText="1"/>
    </xf>
    <xf numFmtId="180" fontId="2" fillId="38" borderId="10" xfId="0" applyNumberFormat="1" applyFont="1" applyFill="1" applyBorder="1" applyAlignment="1">
      <alignment/>
    </xf>
    <xf numFmtId="180" fontId="2" fillId="38" borderId="10" xfId="0" applyNumberFormat="1" applyFont="1" applyFill="1" applyBorder="1" applyAlignment="1">
      <alignment wrapText="1"/>
    </xf>
    <xf numFmtId="183" fontId="2" fillId="38" borderId="0" xfId="0" applyNumberFormat="1" applyFont="1" applyFill="1" applyBorder="1" applyAlignment="1">
      <alignment/>
    </xf>
    <xf numFmtId="0" fontId="2" fillId="38" borderId="0" xfId="0" applyNumberFormat="1" applyFont="1" applyFill="1" applyBorder="1" applyAlignment="1">
      <alignment/>
    </xf>
    <xf numFmtId="0" fontId="2" fillId="38" borderId="0" xfId="0" applyNumberFormat="1" applyFont="1" applyFill="1" applyAlignment="1">
      <alignment/>
    </xf>
    <xf numFmtId="181" fontId="2" fillId="38" borderId="10" xfId="0" applyNumberFormat="1" applyFont="1" applyFill="1" applyBorder="1" applyAlignment="1">
      <alignment/>
    </xf>
    <xf numFmtId="0" fontId="0" fillId="0" borderId="62" xfId="0" applyFont="1" applyBorder="1" applyAlignment="1">
      <alignment/>
    </xf>
    <xf numFmtId="0" fontId="2" fillId="38" borderId="10" xfId="0" applyNumberFormat="1" applyFont="1" applyFill="1" applyBorder="1" applyAlignment="1">
      <alignment wrapText="1"/>
    </xf>
    <xf numFmtId="0" fontId="2" fillId="38" borderId="10" xfId="0" applyNumberFormat="1" applyFont="1" applyFill="1" applyBorder="1" applyAlignment="1">
      <alignment horizontal="right"/>
    </xf>
    <xf numFmtId="0" fontId="2" fillId="38" borderId="10" xfId="0" applyNumberFormat="1" applyFont="1" applyFill="1" applyBorder="1" applyAlignment="1">
      <alignment horizontal="right" vertical="top"/>
    </xf>
    <xf numFmtId="0" fontId="2" fillId="38" borderId="10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 wrapText="1"/>
    </xf>
    <xf numFmtId="0" fontId="2" fillId="0" borderId="20" xfId="0" applyNumberFormat="1" applyFont="1" applyBorder="1" applyAlignment="1">
      <alignment wrapText="1"/>
    </xf>
    <xf numFmtId="180" fontId="2" fillId="0" borderId="20" xfId="0" applyNumberFormat="1" applyFont="1" applyBorder="1" applyAlignment="1">
      <alignment/>
    </xf>
    <xf numFmtId="180" fontId="2" fillId="0" borderId="20" xfId="0" applyNumberFormat="1" applyFont="1" applyBorder="1" applyAlignment="1">
      <alignment wrapText="1"/>
    </xf>
    <xf numFmtId="183" fontId="2" fillId="0" borderId="20" xfId="0" applyNumberFormat="1" applyFont="1" applyBorder="1" applyAlignment="1">
      <alignment wrapText="1"/>
    </xf>
    <xf numFmtId="181" fontId="2" fillId="0" borderId="20" xfId="0" applyNumberFormat="1" applyFont="1" applyBorder="1" applyAlignment="1">
      <alignment wrapText="1"/>
    </xf>
    <xf numFmtId="181" fontId="2" fillId="11" borderId="20" xfId="0" applyNumberFormat="1" applyFont="1" applyFill="1" applyBorder="1" applyAlignment="1">
      <alignment wrapText="1"/>
    </xf>
    <xf numFmtId="181" fontId="2" fillId="44" borderId="20" xfId="0" applyNumberFormat="1" applyFont="1" applyFill="1" applyBorder="1" applyAlignment="1">
      <alignment wrapText="1"/>
    </xf>
    <xf numFmtId="181" fontId="2" fillId="10" borderId="20" xfId="0" applyNumberFormat="1" applyFont="1" applyFill="1" applyBorder="1" applyAlignment="1">
      <alignment/>
    </xf>
    <xf numFmtId="0" fontId="2" fillId="38" borderId="63" xfId="0" applyNumberFormat="1" applyFont="1" applyFill="1" applyBorder="1" applyAlignment="1">
      <alignment/>
    </xf>
    <xf numFmtId="0" fontId="2" fillId="0" borderId="61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 vertical="center" textRotation="90"/>
    </xf>
    <xf numFmtId="0" fontId="1" fillId="0" borderId="0" xfId="0" applyNumberFormat="1" applyFont="1" applyAlignment="1">
      <alignment horizontal="center" vertical="center" textRotation="90"/>
    </xf>
    <xf numFmtId="0" fontId="1" fillId="0" borderId="0" xfId="0" applyNumberFormat="1" applyFont="1" applyAlignment="1">
      <alignment horizontal="center" vertical="center" textRotation="90" wrapText="1"/>
    </xf>
    <xf numFmtId="0" fontId="2" fillId="0" borderId="65" xfId="0" applyNumberFormat="1" applyFont="1" applyBorder="1" applyAlignment="1">
      <alignment horizontal="right"/>
    </xf>
    <xf numFmtId="0" fontId="2" fillId="0" borderId="66" xfId="0" applyNumberFormat="1" applyFont="1" applyBorder="1" applyAlignment="1">
      <alignment horizontal="right"/>
    </xf>
    <xf numFmtId="0" fontId="10" fillId="52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5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183" fontId="3" fillId="39" borderId="10" xfId="0" applyNumberFormat="1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6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83" fontId="13" fillId="10" borderId="62" xfId="0" applyNumberFormat="1" applyFont="1" applyFill="1" applyBorder="1" applyAlignment="1">
      <alignment vertical="center"/>
    </xf>
    <xf numFmtId="183" fontId="13" fillId="10" borderId="51" xfId="0" applyNumberFormat="1" applyFont="1" applyFill="1" applyBorder="1" applyAlignment="1">
      <alignment vertical="center"/>
    </xf>
    <xf numFmtId="0" fontId="47" fillId="10" borderId="40" xfId="53" applyFont="1" applyFill="1" applyBorder="1" applyAlignment="1">
      <alignment horizontal="left" vertical="center" wrapText="1"/>
      <protection/>
    </xf>
    <xf numFmtId="0" fontId="47" fillId="10" borderId="59" xfId="53" applyFont="1" applyFill="1" applyBorder="1" applyAlignment="1">
      <alignment horizontal="left" vertical="center" wrapText="1"/>
      <protection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38" borderId="67" xfId="0" applyNumberFormat="1" applyFont="1" applyFill="1" applyBorder="1" applyAlignment="1">
      <alignment horizontal="center" vertical="center" wrapText="1"/>
    </xf>
    <xf numFmtId="183" fontId="3" fillId="38" borderId="10" xfId="0" applyNumberFormat="1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center" wrapText="1"/>
    </xf>
    <xf numFmtId="0" fontId="4" fillId="38" borderId="67" xfId="0" applyNumberFormat="1" applyFont="1" applyFill="1" applyBorder="1" applyAlignment="1">
      <alignment horizontal="center" vertical="center" wrapText="1"/>
    </xf>
    <xf numFmtId="0" fontId="4" fillId="38" borderId="68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67" xfId="0" applyNumberFormat="1" applyFont="1" applyBorder="1" applyAlignment="1">
      <alignment horizontal="left" vertical="center" wrapText="1"/>
    </xf>
    <xf numFmtId="183" fontId="3" fillId="39" borderId="10" xfId="0" applyNumberFormat="1" applyFont="1" applyFill="1" applyBorder="1" applyAlignment="1">
      <alignment horizontal="left" vertical="top" wrapText="1"/>
    </xf>
    <xf numFmtId="0" fontId="3" fillId="41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52" borderId="10" xfId="0" applyFont="1" applyFill="1" applyBorder="1" applyAlignment="1">
      <alignment horizontal="left" vertical="center" wrapText="1"/>
    </xf>
    <xf numFmtId="0" fontId="3" fillId="47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52" borderId="1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25">
      <selection activeCell="E64" sqref="E64"/>
    </sheetView>
  </sheetViews>
  <sheetFormatPr defaultColWidth="9.140625" defaultRowHeight="12.75"/>
  <cols>
    <col min="2" max="2" width="22.57421875" style="0" customWidth="1"/>
    <col min="3" max="3" width="25.00390625" style="0" customWidth="1"/>
  </cols>
  <sheetData>
    <row r="2" spans="1:5" ht="13.5" thickBot="1">
      <c r="A2" s="144" t="s">
        <v>367</v>
      </c>
      <c r="E2" s="153" t="s">
        <v>404</v>
      </c>
    </row>
    <row r="3" spans="2:6" ht="12.75">
      <c r="B3" s="154" t="s">
        <v>396</v>
      </c>
      <c r="C3" s="155" t="s">
        <v>397</v>
      </c>
      <c r="D3" s="156">
        <v>3</v>
      </c>
      <c r="E3" s="157">
        <f aca="true" t="shared" si="0" ref="E3:E19">D3*F3</f>
        <v>24.48</v>
      </c>
      <c r="F3">
        <v>8.16</v>
      </c>
    </row>
    <row r="4" spans="2:6" ht="12.75">
      <c r="B4" s="158" t="s">
        <v>398</v>
      </c>
      <c r="C4" s="146" t="s">
        <v>399</v>
      </c>
      <c r="D4" s="145">
        <v>7</v>
      </c>
      <c r="E4" s="159">
        <f t="shared" si="0"/>
        <v>57.120000000000005</v>
      </c>
      <c r="F4">
        <v>8.16</v>
      </c>
    </row>
    <row r="5" spans="2:6" ht="12.75">
      <c r="B5" s="158" t="s">
        <v>400</v>
      </c>
      <c r="C5" s="146" t="s">
        <v>401</v>
      </c>
      <c r="D5" s="145">
        <v>8</v>
      </c>
      <c r="E5" s="159">
        <f t="shared" si="0"/>
        <v>65.28</v>
      </c>
      <c r="F5">
        <v>8.16</v>
      </c>
    </row>
    <row r="6" spans="2:6" ht="12.75">
      <c r="B6" s="158" t="s">
        <v>386</v>
      </c>
      <c r="C6" s="146" t="s">
        <v>387</v>
      </c>
      <c r="D6" s="145">
        <v>5</v>
      </c>
      <c r="E6" s="159">
        <f t="shared" si="0"/>
        <v>40.8</v>
      </c>
      <c r="F6">
        <v>8.16</v>
      </c>
    </row>
    <row r="7" spans="2:6" ht="12.75">
      <c r="B7" s="158" t="s">
        <v>390</v>
      </c>
      <c r="C7" s="146" t="s">
        <v>391</v>
      </c>
      <c r="D7" s="145">
        <v>2</v>
      </c>
      <c r="E7" s="159">
        <f t="shared" si="0"/>
        <v>16.32</v>
      </c>
      <c r="F7">
        <v>8.16</v>
      </c>
    </row>
    <row r="8" spans="2:6" ht="12.75">
      <c r="B8" s="158" t="s">
        <v>384</v>
      </c>
      <c r="C8" s="146" t="s">
        <v>385</v>
      </c>
      <c r="D8" s="145">
        <v>1</v>
      </c>
      <c r="E8" s="159">
        <f t="shared" si="0"/>
        <v>8.16</v>
      </c>
      <c r="F8">
        <v>8.16</v>
      </c>
    </row>
    <row r="9" spans="2:6" ht="12.75">
      <c r="B9" s="158" t="s">
        <v>382</v>
      </c>
      <c r="C9" s="146" t="s">
        <v>383</v>
      </c>
      <c r="D9" s="145">
        <v>1</v>
      </c>
      <c r="E9" s="159">
        <f t="shared" si="0"/>
        <v>8.16</v>
      </c>
      <c r="F9">
        <v>8.16</v>
      </c>
    </row>
    <row r="10" spans="2:6" ht="12.75">
      <c r="B10" s="158" t="s">
        <v>388</v>
      </c>
      <c r="C10" s="146" t="s">
        <v>389</v>
      </c>
      <c r="D10" s="145">
        <v>2</v>
      </c>
      <c r="E10" s="159">
        <f t="shared" si="0"/>
        <v>16.32</v>
      </c>
      <c r="F10">
        <v>8.16</v>
      </c>
    </row>
    <row r="11" spans="2:6" ht="12.75">
      <c r="B11" s="158" t="s">
        <v>392</v>
      </c>
      <c r="C11" s="146" t="s">
        <v>393</v>
      </c>
      <c r="D11" s="145">
        <v>3</v>
      </c>
      <c r="E11" s="159">
        <f t="shared" si="0"/>
        <v>24.48</v>
      </c>
      <c r="F11">
        <v>8.16</v>
      </c>
    </row>
    <row r="12" spans="2:6" ht="12.75">
      <c r="B12" s="158" t="s">
        <v>394</v>
      </c>
      <c r="C12" s="146" t="s">
        <v>395</v>
      </c>
      <c r="D12" s="145">
        <v>7</v>
      </c>
      <c r="E12" s="159">
        <f t="shared" si="0"/>
        <v>57.120000000000005</v>
      </c>
      <c r="F12">
        <v>8.16</v>
      </c>
    </row>
    <row r="13" spans="2:6" ht="12.75">
      <c r="B13" s="158" t="s">
        <v>370</v>
      </c>
      <c r="C13" s="146" t="s">
        <v>371</v>
      </c>
      <c r="D13" s="145">
        <v>1</v>
      </c>
      <c r="E13" s="159">
        <f t="shared" si="0"/>
        <v>8.16</v>
      </c>
      <c r="F13">
        <v>8.16</v>
      </c>
    </row>
    <row r="14" spans="2:6" ht="12.75">
      <c r="B14" s="158" t="s">
        <v>368</v>
      </c>
      <c r="C14" s="146" t="s">
        <v>369</v>
      </c>
      <c r="D14" s="145">
        <v>1</v>
      </c>
      <c r="E14" s="159">
        <f t="shared" si="0"/>
        <v>8.16</v>
      </c>
      <c r="F14">
        <f>408/50</f>
        <v>8.16</v>
      </c>
    </row>
    <row r="15" spans="2:6" ht="12.75">
      <c r="B15" s="158" t="s">
        <v>374</v>
      </c>
      <c r="C15" s="146" t="s">
        <v>375</v>
      </c>
      <c r="D15" s="145">
        <v>1</v>
      </c>
      <c r="E15" s="159">
        <f t="shared" si="0"/>
        <v>8.16</v>
      </c>
      <c r="F15">
        <v>8.16</v>
      </c>
    </row>
    <row r="16" spans="2:6" ht="12.75">
      <c r="B16" s="158" t="s">
        <v>378</v>
      </c>
      <c r="C16" s="146" t="s">
        <v>379</v>
      </c>
      <c r="D16" s="145">
        <v>5</v>
      </c>
      <c r="E16" s="159">
        <f t="shared" si="0"/>
        <v>40.8</v>
      </c>
      <c r="F16">
        <v>8.16</v>
      </c>
    </row>
    <row r="17" spans="2:6" ht="12.75">
      <c r="B17" s="158" t="s">
        <v>381</v>
      </c>
      <c r="C17" s="146" t="s">
        <v>377</v>
      </c>
      <c r="D17" s="145">
        <v>1</v>
      </c>
      <c r="E17" s="159">
        <f t="shared" si="0"/>
        <v>8.16</v>
      </c>
      <c r="F17">
        <v>8.16</v>
      </c>
    </row>
    <row r="18" spans="2:6" ht="12.75">
      <c r="B18" s="158" t="s">
        <v>376</v>
      </c>
      <c r="C18" s="146" t="s">
        <v>377</v>
      </c>
      <c r="D18" s="145">
        <v>1</v>
      </c>
      <c r="E18" s="159">
        <f t="shared" si="0"/>
        <v>8.16</v>
      </c>
      <c r="F18">
        <v>8.16</v>
      </c>
    </row>
    <row r="19" spans="2:6" ht="13.5" thickBot="1">
      <c r="B19" s="160" t="s">
        <v>372</v>
      </c>
      <c r="C19" s="161" t="s">
        <v>373</v>
      </c>
      <c r="D19" s="162">
        <v>1</v>
      </c>
      <c r="E19" s="163">
        <f t="shared" si="0"/>
        <v>8.16</v>
      </c>
      <c r="F19">
        <v>8.16</v>
      </c>
    </row>
    <row r="20" spans="2:5" ht="13.5" thickBot="1">
      <c r="B20" s="167"/>
      <c r="C20" s="168" t="s">
        <v>437</v>
      </c>
      <c r="D20" s="168">
        <f>SUM(D3:D19)</f>
        <v>50</v>
      </c>
      <c r="E20" s="169">
        <f>SUM(E3:E19)</f>
        <v>408.00000000000017</v>
      </c>
    </row>
    <row r="21" spans="2:6" ht="12.75">
      <c r="B21" s="154" t="s">
        <v>402</v>
      </c>
      <c r="C21" s="155" t="s">
        <v>403</v>
      </c>
      <c r="D21" s="164">
        <v>9</v>
      </c>
      <c r="E21" s="178">
        <f>F21*D21</f>
        <v>106.4183606557377</v>
      </c>
      <c r="F21" s="177">
        <f>E43/D43</f>
        <v>11.824262295081967</v>
      </c>
    </row>
    <row r="22" spans="2:6" ht="12.75">
      <c r="B22" s="158" t="s">
        <v>405</v>
      </c>
      <c r="C22" s="146" t="s">
        <v>406</v>
      </c>
      <c r="D22" s="147">
        <v>1</v>
      </c>
      <c r="E22" s="181">
        <f aca="true" t="shared" si="1" ref="E22:E42">F22*D22</f>
        <v>11.824262295081967</v>
      </c>
      <c r="F22" s="177">
        <v>11.824262295081967</v>
      </c>
    </row>
    <row r="23" spans="2:6" ht="12.75">
      <c r="B23" s="158" t="s">
        <v>407</v>
      </c>
      <c r="C23" s="146" t="s">
        <v>408</v>
      </c>
      <c r="D23" s="147">
        <v>4</v>
      </c>
      <c r="E23" s="181">
        <f t="shared" si="1"/>
        <v>47.29704918032787</v>
      </c>
      <c r="F23" s="177">
        <v>11.824262295081967</v>
      </c>
    </row>
    <row r="24" spans="2:6" ht="12.75">
      <c r="B24" s="158" t="s">
        <v>409</v>
      </c>
      <c r="C24" s="146" t="s">
        <v>410</v>
      </c>
      <c r="D24" s="147">
        <v>1</v>
      </c>
      <c r="E24" s="181">
        <f t="shared" si="1"/>
        <v>11.824262295081967</v>
      </c>
      <c r="F24" s="177">
        <v>11.824262295081967</v>
      </c>
    </row>
    <row r="25" spans="2:6" ht="12.75">
      <c r="B25" s="158" t="s">
        <v>411</v>
      </c>
      <c r="C25" s="146" t="s">
        <v>412</v>
      </c>
      <c r="D25" s="147">
        <v>5</v>
      </c>
      <c r="E25" s="181">
        <f t="shared" si="1"/>
        <v>59.12131147540983</v>
      </c>
      <c r="F25" s="177">
        <v>11.824262295081967</v>
      </c>
    </row>
    <row r="26" spans="2:6" ht="12.75">
      <c r="B26" s="158" t="s">
        <v>413</v>
      </c>
      <c r="C26" s="146" t="s">
        <v>414</v>
      </c>
      <c r="D26" s="147">
        <v>6</v>
      </c>
      <c r="E26" s="181">
        <f t="shared" si="1"/>
        <v>70.9455737704918</v>
      </c>
      <c r="F26" s="177">
        <v>11.824262295081967</v>
      </c>
    </row>
    <row r="27" spans="2:6" ht="12.75">
      <c r="B27" s="158" t="s">
        <v>415</v>
      </c>
      <c r="C27" s="146" t="s">
        <v>416</v>
      </c>
      <c r="D27" s="147">
        <v>3</v>
      </c>
      <c r="E27" s="181">
        <f t="shared" si="1"/>
        <v>35.4727868852459</v>
      </c>
      <c r="F27" s="177">
        <v>11.824262295081967</v>
      </c>
    </row>
    <row r="28" spans="2:6" ht="12.75">
      <c r="B28" s="158" t="s">
        <v>417</v>
      </c>
      <c r="C28" s="146" t="s">
        <v>418</v>
      </c>
      <c r="D28" s="147">
        <v>4</v>
      </c>
      <c r="E28" s="181">
        <f t="shared" si="1"/>
        <v>47.29704918032787</v>
      </c>
      <c r="F28" s="177">
        <v>11.824262295081967</v>
      </c>
    </row>
    <row r="29" spans="2:6" ht="12.75">
      <c r="B29" s="158" t="s">
        <v>419</v>
      </c>
      <c r="C29" s="146" t="s">
        <v>420</v>
      </c>
      <c r="D29" s="147">
        <v>2</v>
      </c>
      <c r="E29" s="181">
        <f t="shared" si="1"/>
        <v>23.648524590163934</v>
      </c>
      <c r="F29" s="177">
        <v>11.824262295081967</v>
      </c>
    </row>
    <row r="30" spans="2:6" ht="12.75">
      <c r="B30" s="158" t="s">
        <v>384</v>
      </c>
      <c r="C30" s="146" t="s">
        <v>373</v>
      </c>
      <c r="D30" s="147">
        <v>1</v>
      </c>
      <c r="E30" s="181">
        <f t="shared" si="1"/>
        <v>11.824262295081967</v>
      </c>
      <c r="F30" s="177">
        <v>11.824262295081967</v>
      </c>
    </row>
    <row r="31" spans="2:6" ht="12.75">
      <c r="B31" s="158" t="s">
        <v>382</v>
      </c>
      <c r="C31" s="146" t="s">
        <v>421</v>
      </c>
      <c r="D31" s="147">
        <v>1</v>
      </c>
      <c r="E31" s="181">
        <f t="shared" si="1"/>
        <v>11.824262295081967</v>
      </c>
      <c r="F31" s="177">
        <v>11.824262295081967</v>
      </c>
    </row>
    <row r="32" spans="2:6" ht="12.75">
      <c r="B32" s="158" t="s">
        <v>422</v>
      </c>
      <c r="C32" s="146" t="s">
        <v>423</v>
      </c>
      <c r="D32" s="147">
        <v>1</v>
      </c>
      <c r="E32" s="181">
        <f t="shared" si="1"/>
        <v>11.824262295081967</v>
      </c>
      <c r="F32" s="177">
        <v>11.824262295081967</v>
      </c>
    </row>
    <row r="33" spans="2:6" ht="12.75">
      <c r="B33" s="158" t="s">
        <v>388</v>
      </c>
      <c r="C33" s="146" t="s">
        <v>424</v>
      </c>
      <c r="D33" s="147">
        <v>1</v>
      </c>
      <c r="E33" s="181">
        <f t="shared" si="1"/>
        <v>11.824262295081967</v>
      </c>
      <c r="F33" s="177">
        <v>11.824262295081967</v>
      </c>
    </row>
    <row r="34" spans="2:6" ht="12.75">
      <c r="B34" s="158" t="s">
        <v>394</v>
      </c>
      <c r="C34" s="146" t="s">
        <v>423</v>
      </c>
      <c r="D34" s="147">
        <v>1</v>
      </c>
      <c r="E34" s="181">
        <f t="shared" si="1"/>
        <v>11.824262295081967</v>
      </c>
      <c r="F34" s="177">
        <v>11.824262295081967</v>
      </c>
    </row>
    <row r="35" spans="2:6" ht="12.75">
      <c r="B35" s="158" t="s">
        <v>425</v>
      </c>
      <c r="C35" s="146" t="s">
        <v>426</v>
      </c>
      <c r="D35" s="147">
        <v>2</v>
      </c>
      <c r="E35" s="181">
        <f t="shared" si="1"/>
        <v>23.648524590163934</v>
      </c>
      <c r="F35" s="177">
        <v>11.824262295081967</v>
      </c>
    </row>
    <row r="36" spans="2:6" ht="12.75">
      <c r="B36" s="158" t="s">
        <v>370</v>
      </c>
      <c r="C36" s="146" t="s">
        <v>427</v>
      </c>
      <c r="D36" s="147">
        <v>3</v>
      </c>
      <c r="E36" s="181">
        <f t="shared" si="1"/>
        <v>35.4727868852459</v>
      </c>
      <c r="F36" s="177">
        <v>11.824262295081967</v>
      </c>
    </row>
    <row r="37" spans="2:6" ht="12.75">
      <c r="B37" s="158" t="s">
        <v>428</v>
      </c>
      <c r="C37" s="146" t="s">
        <v>429</v>
      </c>
      <c r="D37" s="147">
        <v>1</v>
      </c>
      <c r="E37" s="181">
        <f t="shared" si="1"/>
        <v>11.824262295081967</v>
      </c>
      <c r="F37" s="177">
        <v>11.824262295081967</v>
      </c>
    </row>
    <row r="38" spans="2:6" ht="12.75">
      <c r="B38" s="158" t="s">
        <v>368</v>
      </c>
      <c r="C38" s="146" t="s">
        <v>430</v>
      </c>
      <c r="D38" s="147">
        <v>8</v>
      </c>
      <c r="E38" s="181">
        <f t="shared" si="1"/>
        <v>94.59409836065574</v>
      </c>
      <c r="F38" s="177">
        <v>11.824262295081967</v>
      </c>
    </row>
    <row r="39" spans="2:6" ht="12.75">
      <c r="B39" s="158" t="s">
        <v>380</v>
      </c>
      <c r="C39" s="146" t="s">
        <v>431</v>
      </c>
      <c r="D39" s="147">
        <v>1</v>
      </c>
      <c r="E39" s="181">
        <f t="shared" si="1"/>
        <v>11.824262295081967</v>
      </c>
      <c r="F39" s="177">
        <v>11.824262295081967</v>
      </c>
    </row>
    <row r="40" spans="2:6" ht="12.75">
      <c r="B40" s="158" t="s">
        <v>432</v>
      </c>
      <c r="C40" s="146" t="s">
        <v>433</v>
      </c>
      <c r="D40" s="147">
        <v>2</v>
      </c>
      <c r="E40" s="181">
        <f t="shared" si="1"/>
        <v>23.648524590163934</v>
      </c>
      <c r="F40" s="177">
        <v>11.824262295081967</v>
      </c>
    </row>
    <row r="41" spans="2:6" ht="12.75">
      <c r="B41" s="158" t="s">
        <v>374</v>
      </c>
      <c r="C41" s="146" t="s">
        <v>434</v>
      </c>
      <c r="D41" s="147">
        <v>1</v>
      </c>
      <c r="E41" s="181">
        <f t="shared" si="1"/>
        <v>11.824262295081967</v>
      </c>
      <c r="F41" s="177">
        <v>11.824262295081967</v>
      </c>
    </row>
    <row r="42" spans="2:6" ht="13.5" thickBot="1">
      <c r="B42" s="160" t="s">
        <v>435</v>
      </c>
      <c r="C42" s="161" t="s">
        <v>436</v>
      </c>
      <c r="D42" s="165">
        <v>3</v>
      </c>
      <c r="E42" s="182">
        <f t="shared" si="1"/>
        <v>35.4727868852459</v>
      </c>
      <c r="F42" s="177">
        <v>11.824262295081967</v>
      </c>
    </row>
    <row r="43" spans="2:5" ht="13.5" thickBot="1">
      <c r="B43" s="167"/>
      <c r="C43" s="168" t="s">
        <v>473</v>
      </c>
      <c r="D43" s="168">
        <f>SUM(D21:D42)</f>
        <v>61</v>
      </c>
      <c r="E43" s="169">
        <v>721.28</v>
      </c>
    </row>
    <row r="44" spans="2:6" ht="12.75">
      <c r="B44" s="171" t="s">
        <v>438</v>
      </c>
      <c r="C44" s="172" t="s">
        <v>439</v>
      </c>
      <c r="D44" s="164">
        <v>8</v>
      </c>
      <c r="E44" s="180">
        <f>F44*D44</f>
        <v>79.61739130434783</v>
      </c>
      <c r="F44" s="177">
        <f>E59/D59</f>
        <v>9.95217391304348</v>
      </c>
    </row>
    <row r="45" spans="2:6" ht="12.75">
      <c r="B45" s="173" t="s">
        <v>407</v>
      </c>
      <c r="C45" s="170" t="s">
        <v>463</v>
      </c>
      <c r="D45" s="147">
        <v>1</v>
      </c>
      <c r="E45" s="181">
        <f aca="true" t="shared" si="2" ref="E45:E58">F45*D45</f>
        <v>9.95217391304348</v>
      </c>
      <c r="F45" s="177">
        <v>9.95217391304348</v>
      </c>
    </row>
    <row r="46" spans="2:6" ht="12.75">
      <c r="B46" s="173" t="s">
        <v>411</v>
      </c>
      <c r="C46" s="170" t="s">
        <v>440</v>
      </c>
      <c r="D46" s="147">
        <v>2</v>
      </c>
      <c r="E46" s="181">
        <f t="shared" si="2"/>
        <v>19.90434782608696</v>
      </c>
      <c r="F46" s="177">
        <v>9.95217391304348</v>
      </c>
    </row>
    <row r="47" spans="2:6" ht="12.75">
      <c r="B47" s="173" t="s">
        <v>441</v>
      </c>
      <c r="C47" s="170" t="s">
        <v>442</v>
      </c>
      <c r="D47" s="147">
        <v>1</v>
      </c>
      <c r="E47" s="181">
        <f t="shared" si="2"/>
        <v>9.95217391304348</v>
      </c>
      <c r="F47" s="177">
        <v>9.95217391304348</v>
      </c>
    </row>
    <row r="48" spans="2:6" ht="12.75">
      <c r="B48" s="173" t="s">
        <v>443</v>
      </c>
      <c r="C48" s="170" t="s">
        <v>444</v>
      </c>
      <c r="D48" s="147">
        <v>2</v>
      </c>
      <c r="E48" s="181">
        <f t="shared" si="2"/>
        <v>19.90434782608696</v>
      </c>
      <c r="F48" s="177">
        <v>9.95217391304348</v>
      </c>
    </row>
    <row r="49" spans="2:6" ht="12.75">
      <c r="B49" s="173" t="s">
        <v>445</v>
      </c>
      <c r="C49" s="170" t="s">
        <v>446</v>
      </c>
      <c r="D49" s="147">
        <v>4</v>
      </c>
      <c r="E49" s="181">
        <f t="shared" si="2"/>
        <v>39.80869565217392</v>
      </c>
      <c r="F49" s="177">
        <v>9.95217391304348</v>
      </c>
    </row>
    <row r="50" spans="2:6" ht="12.75">
      <c r="B50" s="173" t="s">
        <v>447</v>
      </c>
      <c r="C50" s="170" t="s">
        <v>448</v>
      </c>
      <c r="D50" s="147">
        <v>4</v>
      </c>
      <c r="E50" s="181">
        <f t="shared" si="2"/>
        <v>39.80869565217392</v>
      </c>
      <c r="F50" s="177">
        <v>9.95217391304348</v>
      </c>
    </row>
    <row r="51" spans="2:6" ht="12.75">
      <c r="B51" s="173" t="s">
        <v>449</v>
      </c>
      <c r="C51" s="170" t="s">
        <v>450</v>
      </c>
      <c r="D51" s="147">
        <v>2</v>
      </c>
      <c r="E51" s="181">
        <f t="shared" si="2"/>
        <v>19.90434782608696</v>
      </c>
      <c r="F51" s="177">
        <v>9.95217391304348</v>
      </c>
    </row>
    <row r="52" spans="2:6" ht="12.75">
      <c r="B52" s="173" t="s">
        <v>451</v>
      </c>
      <c r="C52" s="170" t="s">
        <v>452</v>
      </c>
      <c r="D52" s="147">
        <v>2</v>
      </c>
      <c r="E52" s="181">
        <f t="shared" si="2"/>
        <v>19.90434782608696</v>
      </c>
      <c r="F52" s="177">
        <v>9.95217391304348</v>
      </c>
    </row>
    <row r="53" spans="2:6" ht="12.75">
      <c r="B53" s="173" t="s">
        <v>453</v>
      </c>
      <c r="C53" s="170" t="s">
        <v>454</v>
      </c>
      <c r="D53" s="147">
        <v>2</v>
      </c>
      <c r="E53" s="181">
        <f t="shared" si="2"/>
        <v>19.90434782608696</v>
      </c>
      <c r="F53" s="177">
        <v>9.95217391304348</v>
      </c>
    </row>
    <row r="54" spans="2:6" ht="12.75">
      <c r="B54" s="173" t="s">
        <v>455</v>
      </c>
      <c r="C54" s="170" t="s">
        <v>456</v>
      </c>
      <c r="D54" s="147">
        <v>2</v>
      </c>
      <c r="E54" s="181">
        <f t="shared" si="2"/>
        <v>19.90434782608696</v>
      </c>
      <c r="F54" s="177">
        <v>9.95217391304348</v>
      </c>
    </row>
    <row r="55" spans="2:6" ht="12.75">
      <c r="B55" s="173" t="s">
        <v>457</v>
      </c>
      <c r="C55" s="145"/>
      <c r="D55" s="147">
        <v>1</v>
      </c>
      <c r="E55" s="181">
        <f t="shared" si="2"/>
        <v>9.95217391304348</v>
      </c>
      <c r="F55" s="177">
        <v>9.95217391304348</v>
      </c>
    </row>
    <row r="56" spans="2:6" ht="12.75">
      <c r="B56" s="173" t="s">
        <v>458</v>
      </c>
      <c r="C56" s="170" t="s">
        <v>459</v>
      </c>
      <c r="D56" s="147">
        <v>8</v>
      </c>
      <c r="E56" s="181">
        <f t="shared" si="2"/>
        <v>79.61739130434783</v>
      </c>
      <c r="F56" s="177">
        <v>9.95217391304348</v>
      </c>
    </row>
    <row r="57" spans="2:6" ht="12.75">
      <c r="B57" s="173" t="s">
        <v>432</v>
      </c>
      <c r="C57" s="170" t="s">
        <v>460</v>
      </c>
      <c r="D57" s="147">
        <v>2</v>
      </c>
      <c r="E57" s="181">
        <f t="shared" si="2"/>
        <v>19.90434782608696</v>
      </c>
      <c r="F57" s="177">
        <v>9.95217391304348</v>
      </c>
    </row>
    <row r="58" spans="2:6" ht="13.5" thickBot="1">
      <c r="B58" s="174" t="s">
        <v>461</v>
      </c>
      <c r="C58" s="175" t="s">
        <v>462</v>
      </c>
      <c r="D58" s="165">
        <v>5</v>
      </c>
      <c r="E58" s="182">
        <f t="shared" si="2"/>
        <v>49.7608695652174</v>
      </c>
      <c r="F58" s="177">
        <v>9.95217391304348</v>
      </c>
    </row>
    <row r="59" spans="2:5" ht="13.5" thickBot="1">
      <c r="B59" s="150"/>
      <c r="C59" s="152" t="s">
        <v>464</v>
      </c>
      <c r="D59" s="152">
        <f>SUM(D44:D58)</f>
        <v>46</v>
      </c>
      <c r="E59" s="152">
        <v>457.8</v>
      </c>
    </row>
    <row r="60" spans="5:8" ht="13.5" thickBot="1">
      <c r="E60" s="144">
        <f>E20+E43+E59</f>
        <v>1587.0800000000002</v>
      </c>
      <c r="H60">
        <f>43.946/8</f>
        <v>5.49325</v>
      </c>
    </row>
    <row r="61" spans="2:7" ht="12.75">
      <c r="B61" s="154" t="s">
        <v>471</v>
      </c>
      <c r="C61" s="156"/>
      <c r="D61" s="156">
        <v>1</v>
      </c>
      <c r="E61" s="178">
        <f>F61*D61+5.49325</f>
        <v>16.52525</v>
      </c>
      <c r="F61">
        <v>11.032</v>
      </c>
      <c r="G61">
        <v>5.49325</v>
      </c>
    </row>
    <row r="62" spans="2:7" ht="12.75">
      <c r="B62" s="158" t="s">
        <v>467</v>
      </c>
      <c r="C62" s="146" t="s">
        <v>468</v>
      </c>
      <c r="D62" s="145">
        <v>1</v>
      </c>
      <c r="E62" s="181">
        <f>F62*D62+G62</f>
        <v>16.52525</v>
      </c>
      <c r="F62">
        <v>11.032</v>
      </c>
      <c r="G62">
        <v>5.49325</v>
      </c>
    </row>
    <row r="63" spans="2:7" ht="12.75">
      <c r="B63" s="158" t="s">
        <v>409</v>
      </c>
      <c r="C63" s="146" t="s">
        <v>470</v>
      </c>
      <c r="D63" s="145">
        <v>1</v>
      </c>
      <c r="E63" s="181">
        <f>F63*D63+G63+H60</f>
        <v>22.0185</v>
      </c>
      <c r="F63">
        <v>11.032</v>
      </c>
      <c r="G63">
        <v>5.49325</v>
      </c>
    </row>
    <row r="64" spans="2:7" ht="12.75">
      <c r="B64" s="158" t="s">
        <v>447</v>
      </c>
      <c r="C64" s="146" t="s">
        <v>469</v>
      </c>
      <c r="D64" s="145">
        <v>1</v>
      </c>
      <c r="E64" s="181">
        <f>F64*D64+G64</f>
        <v>16.52525</v>
      </c>
      <c r="F64">
        <v>11.032</v>
      </c>
      <c r="G64">
        <v>5.49325</v>
      </c>
    </row>
    <row r="65" spans="2:7" ht="12.75">
      <c r="B65" s="158" t="s">
        <v>428</v>
      </c>
      <c r="C65" s="146" t="s">
        <v>466</v>
      </c>
      <c r="D65" s="145">
        <v>1</v>
      </c>
      <c r="E65" s="181">
        <f>F65*D65+G65</f>
        <v>16.52525</v>
      </c>
      <c r="F65">
        <v>11.032</v>
      </c>
      <c r="G65">
        <v>5.49325</v>
      </c>
    </row>
    <row r="66" spans="2:7" ht="12.75">
      <c r="B66" s="158" t="s">
        <v>378</v>
      </c>
      <c r="C66" s="146" t="s">
        <v>469</v>
      </c>
      <c r="D66" s="145">
        <v>1</v>
      </c>
      <c r="E66" s="181">
        <f>F66*D66+G66</f>
        <v>15.38525</v>
      </c>
      <c r="F66">
        <v>9.892</v>
      </c>
      <c r="G66">
        <v>5.49325</v>
      </c>
    </row>
    <row r="67" spans="2:7" ht="13.5" thickBot="1">
      <c r="B67" s="166" t="s">
        <v>435</v>
      </c>
      <c r="C67" s="148" t="s">
        <v>465</v>
      </c>
      <c r="D67" s="149">
        <v>2</v>
      </c>
      <c r="E67" s="181">
        <f>F67*D67+G67</f>
        <v>27.55725</v>
      </c>
      <c r="F67">
        <f>77.224/7</f>
        <v>11.032</v>
      </c>
      <c r="G67">
        <v>5.49325</v>
      </c>
    </row>
    <row r="68" spans="2:5" ht="13.5" thickBot="1">
      <c r="B68" s="183"/>
      <c r="C68" s="152" t="s">
        <v>472</v>
      </c>
      <c r="D68" s="152">
        <f>SUM(D61:D67)</f>
        <v>8</v>
      </c>
      <c r="E68" s="179">
        <f>SUM(E61:E67)</f>
        <v>131.062</v>
      </c>
    </row>
    <row r="69" spans="2:5" ht="13.5" thickBot="1">
      <c r="B69" s="150"/>
      <c r="C69" s="151"/>
      <c r="D69" s="151"/>
      <c r="E69" s="176">
        <f>E60+E68</f>
        <v>1718.1420000000003</v>
      </c>
    </row>
  </sheetData>
  <sheetProtection/>
  <autoFilter ref="B2:F4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7"/>
  <sheetViews>
    <sheetView tabSelected="1" zoomScalePageLayoutView="0" workbookViewId="0" topLeftCell="A1">
      <pane xSplit="13" ySplit="3" topLeftCell="O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J326" sqref="AJ326"/>
    </sheetView>
  </sheetViews>
  <sheetFormatPr defaultColWidth="9.140625" defaultRowHeight="12.75" outlineLevelCol="1"/>
  <cols>
    <col min="1" max="1" width="5.57421875" style="41" customWidth="1"/>
    <col min="2" max="2" width="33.140625" style="5" customWidth="1"/>
    <col min="3" max="3" width="13.57421875" style="5" hidden="1" customWidth="1" outlineLevel="1"/>
    <col min="4" max="4" width="13.28125" style="40" hidden="1" customWidth="1" outlineLevel="1"/>
    <col min="5" max="5" width="10.00390625" style="40" hidden="1" customWidth="1" outlineLevel="1"/>
    <col min="6" max="6" width="16.421875" style="40" customWidth="1" outlineLevel="1"/>
    <col min="7" max="7" width="19.28125" style="40" hidden="1" customWidth="1" outlineLevel="1"/>
    <col min="8" max="9" width="16.8515625" style="40" hidden="1" customWidth="1" outlineLevel="1"/>
    <col min="10" max="10" width="10.140625" style="40" hidden="1" customWidth="1" outlineLevel="1"/>
    <col min="11" max="11" width="8.7109375" style="5" hidden="1" customWidth="1" outlineLevel="1"/>
    <col min="12" max="12" width="12.8515625" style="5" hidden="1" customWidth="1" outlineLevel="1"/>
    <col min="13" max="13" width="15.421875" style="5" hidden="1" customWidth="1" outlineLevel="1"/>
    <col min="14" max="14" width="14.00390625" style="5" hidden="1" customWidth="1"/>
    <col min="15" max="15" width="12.8515625" style="5" customWidth="1"/>
    <col min="16" max="16" width="13.8515625" style="81" customWidth="1"/>
    <col min="17" max="17" width="15.00390625" style="5" customWidth="1"/>
    <col min="18" max="18" width="12.8515625" style="5" customWidth="1"/>
    <col min="19" max="19" width="11.7109375" style="5" customWidth="1"/>
    <col min="20" max="20" width="13.8515625" style="5" customWidth="1"/>
    <col min="21" max="21" width="10.140625" style="5" bestFit="1" customWidth="1"/>
    <col min="22" max="22" width="11.8515625" style="5" customWidth="1"/>
    <col min="23" max="23" width="10.421875" style="5" customWidth="1"/>
    <col min="24" max="24" width="10.7109375" style="5" customWidth="1"/>
    <col min="25" max="25" width="11.00390625" style="5" customWidth="1"/>
    <col min="26" max="26" width="9.8515625" style="5" customWidth="1"/>
    <col min="27" max="27" width="12.8515625" style="5" customWidth="1"/>
    <col min="28" max="28" width="13.00390625" style="5" customWidth="1"/>
    <col min="29" max="29" width="15.00390625" style="5" customWidth="1"/>
    <col min="30" max="30" width="11.421875" style="5" customWidth="1"/>
    <col min="31" max="31" width="12.00390625" style="5" customWidth="1"/>
    <col min="32" max="32" width="11.421875" style="5" customWidth="1"/>
    <col min="33" max="33" width="13.28125" style="5" customWidth="1"/>
    <col min="34" max="34" width="13.140625" style="5" customWidth="1"/>
    <col min="35" max="35" width="13.00390625" style="5" customWidth="1"/>
    <col min="36" max="36" width="14.7109375" style="5" customWidth="1"/>
    <col min="37" max="16384" width="9.140625" style="5" customWidth="1"/>
  </cols>
  <sheetData>
    <row r="1" spans="1:35" ht="16.5" customHeight="1">
      <c r="A1" s="1"/>
      <c r="B1" s="352" t="s">
        <v>355</v>
      </c>
      <c r="C1" s="352"/>
      <c r="D1" s="352"/>
      <c r="E1" s="2"/>
      <c r="F1" s="2"/>
      <c r="G1" s="2"/>
      <c r="H1" s="3"/>
      <c r="I1" s="3"/>
      <c r="J1" s="3"/>
      <c r="K1" s="4"/>
      <c r="L1" s="4"/>
      <c r="M1" s="4"/>
      <c r="N1" s="4">
        <f>12</f>
        <v>12</v>
      </c>
      <c r="O1" s="4">
        <f>0.9535</f>
        <v>0.9535</v>
      </c>
      <c r="P1" s="75">
        <v>1</v>
      </c>
      <c r="Q1" s="4">
        <v>2</v>
      </c>
      <c r="R1" s="4">
        <v>3</v>
      </c>
      <c r="S1" s="4">
        <v>4</v>
      </c>
      <c r="T1" s="4">
        <v>5</v>
      </c>
      <c r="U1" s="4">
        <v>6</v>
      </c>
      <c r="V1" s="4">
        <v>7</v>
      </c>
      <c r="W1" s="4">
        <v>8</v>
      </c>
      <c r="X1" s="4">
        <v>9</v>
      </c>
      <c r="Y1" s="4">
        <v>10</v>
      </c>
      <c r="Z1" s="4">
        <v>11</v>
      </c>
      <c r="AA1" s="4">
        <v>12</v>
      </c>
      <c r="AB1" s="4">
        <v>13</v>
      </c>
      <c r="AC1" s="4">
        <v>14</v>
      </c>
      <c r="AD1" s="4">
        <v>15</v>
      </c>
      <c r="AE1" s="4">
        <v>16</v>
      </c>
      <c r="AF1" s="4">
        <v>17</v>
      </c>
      <c r="AG1" s="4">
        <v>18</v>
      </c>
      <c r="AH1" s="4">
        <v>19</v>
      </c>
      <c r="AI1" s="4">
        <v>20</v>
      </c>
    </row>
    <row r="2" spans="1:39" ht="59.25" customHeight="1">
      <c r="A2" s="347" t="s">
        <v>0</v>
      </c>
      <c r="B2" s="347" t="s">
        <v>1</v>
      </c>
      <c r="C2" s="347" t="s">
        <v>2</v>
      </c>
      <c r="D2" s="347" t="s">
        <v>3</v>
      </c>
      <c r="E2" s="347" t="s">
        <v>4</v>
      </c>
      <c r="F2" s="347" t="s">
        <v>5</v>
      </c>
      <c r="G2" s="347" t="s">
        <v>6</v>
      </c>
      <c r="H2" s="6" t="s">
        <v>7</v>
      </c>
      <c r="I2" s="6" t="s">
        <v>7</v>
      </c>
      <c r="J2" s="347" t="s">
        <v>8</v>
      </c>
      <c r="K2" s="353" t="s">
        <v>9</v>
      </c>
      <c r="L2" s="347" t="s">
        <v>10</v>
      </c>
      <c r="M2" s="347" t="s">
        <v>356</v>
      </c>
      <c r="N2" s="347" t="s">
        <v>11</v>
      </c>
      <c r="O2" s="343" t="s">
        <v>12</v>
      </c>
      <c r="P2" s="344" t="s">
        <v>13</v>
      </c>
      <c r="Q2" s="345" t="s">
        <v>14</v>
      </c>
      <c r="R2" s="346" t="s">
        <v>15</v>
      </c>
      <c r="S2" s="348" t="s">
        <v>16</v>
      </c>
      <c r="T2" s="349" t="s">
        <v>361</v>
      </c>
      <c r="U2" s="341" t="s">
        <v>17</v>
      </c>
      <c r="V2" s="342" t="s">
        <v>18</v>
      </c>
      <c r="W2" s="337" t="s">
        <v>19</v>
      </c>
      <c r="X2" s="338" t="s">
        <v>20</v>
      </c>
      <c r="Y2" s="339" t="s">
        <v>363</v>
      </c>
      <c r="Z2" s="340" t="s">
        <v>364</v>
      </c>
      <c r="AA2" s="332" t="s">
        <v>365</v>
      </c>
      <c r="AB2" s="333" t="s">
        <v>366</v>
      </c>
      <c r="AC2" s="334" t="s">
        <v>21</v>
      </c>
      <c r="AD2" s="335" t="s">
        <v>22</v>
      </c>
      <c r="AE2" s="331" t="s">
        <v>23</v>
      </c>
      <c r="AF2" s="331" t="s">
        <v>24</v>
      </c>
      <c r="AG2" s="327" t="s">
        <v>25</v>
      </c>
      <c r="AH2" s="327" t="s">
        <v>25</v>
      </c>
      <c r="AI2" s="327" t="s">
        <v>25</v>
      </c>
      <c r="AJ2" s="328" t="s">
        <v>26</v>
      </c>
      <c r="AK2" s="322" t="s">
        <v>514</v>
      </c>
      <c r="AL2" s="323" t="s">
        <v>515</v>
      </c>
      <c r="AM2" s="324" t="s">
        <v>516</v>
      </c>
    </row>
    <row r="3" spans="1:39" ht="72" customHeight="1">
      <c r="A3" s="347"/>
      <c r="B3" s="347"/>
      <c r="C3" s="347"/>
      <c r="D3" s="347"/>
      <c r="E3" s="347"/>
      <c r="F3" s="347"/>
      <c r="G3" s="347"/>
      <c r="H3" s="6" t="s">
        <v>27</v>
      </c>
      <c r="I3" s="6" t="s">
        <v>354</v>
      </c>
      <c r="J3" s="347"/>
      <c r="K3" s="354"/>
      <c r="L3" s="347"/>
      <c r="M3" s="347"/>
      <c r="N3" s="347"/>
      <c r="O3" s="343"/>
      <c r="P3" s="344"/>
      <c r="Q3" s="345"/>
      <c r="R3" s="346"/>
      <c r="S3" s="348"/>
      <c r="T3" s="349"/>
      <c r="U3" s="341"/>
      <c r="V3" s="342"/>
      <c r="W3" s="337"/>
      <c r="X3" s="338"/>
      <c r="Y3" s="339"/>
      <c r="Z3" s="340"/>
      <c r="AA3" s="332"/>
      <c r="AB3" s="333"/>
      <c r="AC3" s="334"/>
      <c r="AD3" s="336"/>
      <c r="AE3" s="331"/>
      <c r="AF3" s="331"/>
      <c r="AG3" s="327"/>
      <c r="AH3" s="327"/>
      <c r="AI3" s="327"/>
      <c r="AJ3" s="328"/>
      <c r="AK3" s="322"/>
      <c r="AL3" s="323"/>
      <c r="AM3" s="324"/>
    </row>
    <row r="4" spans="1:19" ht="18.7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9"/>
      <c r="L4" s="10"/>
      <c r="M4" s="10"/>
      <c r="N4" s="10"/>
      <c r="O4" s="10"/>
      <c r="P4" s="76"/>
      <c r="Q4" s="11"/>
      <c r="R4" s="11"/>
      <c r="S4" s="11"/>
    </row>
    <row r="5" spans="1:39" ht="15.75">
      <c r="A5" s="12">
        <v>1</v>
      </c>
      <c r="B5" s="13" t="s">
        <v>28</v>
      </c>
      <c r="C5" s="14">
        <v>1966</v>
      </c>
      <c r="D5" s="14">
        <v>5</v>
      </c>
      <c r="E5" s="14">
        <v>80</v>
      </c>
      <c r="F5" s="14">
        <v>3219.2</v>
      </c>
      <c r="G5" s="8">
        <v>0</v>
      </c>
      <c r="H5" s="14">
        <v>3219.2</v>
      </c>
      <c r="I5" s="14"/>
      <c r="J5" s="14">
        <v>2099.8</v>
      </c>
      <c r="K5" s="15">
        <v>4</v>
      </c>
      <c r="L5" s="10">
        <v>5.08</v>
      </c>
      <c r="M5" s="16">
        <f>L5*H5</f>
        <v>16353.536</v>
      </c>
      <c r="N5" s="16">
        <f>L5*H5*12</f>
        <v>196242.432</v>
      </c>
      <c r="O5" s="17">
        <f>N5*$O$1</f>
        <v>187117.158912</v>
      </c>
      <c r="P5" s="103">
        <v>8.292</v>
      </c>
      <c r="Q5" s="142">
        <v>36.8</v>
      </c>
      <c r="R5" s="18">
        <v>0</v>
      </c>
      <c r="S5" s="18">
        <v>0</v>
      </c>
      <c r="T5" s="18">
        <v>0</v>
      </c>
      <c r="U5" s="18">
        <v>0</v>
      </c>
      <c r="V5" s="104">
        <v>5.362</v>
      </c>
      <c r="W5" s="18">
        <v>0</v>
      </c>
      <c r="X5" s="18">
        <v>0</v>
      </c>
      <c r="Y5" s="107">
        <v>4.848</v>
      </c>
      <c r="Z5" s="106">
        <v>7.192</v>
      </c>
      <c r="AA5" s="110">
        <v>2.098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91">
        <f>SUM(P5,Q5,R5,S5,T5,U5,V5,W5,X5,Y5,Z5,AA5,AB5,AC5,AD5,AE5,AF5,AG5,AH5,AI5)</f>
        <v>64.592</v>
      </c>
      <c r="AK5" s="5">
        <f>4963963*F5/653667.1</f>
        <v>24446.67888226285</v>
      </c>
      <c r="AL5" s="5">
        <f>3362538*F5/653567.1</f>
        <v>16562.465169375875</v>
      </c>
      <c r="AM5" s="5">
        <f>218982*F5/653567.1</f>
        <v>1078.614352527843</v>
      </c>
    </row>
    <row r="6" spans="1:39" ht="15.75">
      <c r="A6" s="12">
        <v>2</v>
      </c>
      <c r="B6" s="13" t="s">
        <v>29</v>
      </c>
      <c r="C6" s="14" t="s">
        <v>30</v>
      </c>
      <c r="D6" s="14">
        <v>4</v>
      </c>
      <c r="E6" s="14">
        <v>16</v>
      </c>
      <c r="F6" s="14">
        <v>973</v>
      </c>
      <c r="G6" s="8">
        <v>0</v>
      </c>
      <c r="H6" s="14">
        <v>973</v>
      </c>
      <c r="I6" s="14"/>
      <c r="J6" s="14">
        <v>630.87</v>
      </c>
      <c r="K6" s="15">
        <v>1</v>
      </c>
      <c r="L6" s="10">
        <v>5.08</v>
      </c>
      <c r="M6" s="16">
        <f aca="true" t="shared" si="0" ref="M6:M69">L6*H6</f>
        <v>4942.84</v>
      </c>
      <c r="N6" s="16">
        <f aca="true" t="shared" si="1" ref="N6:N69">L6*H6*12</f>
        <v>59314.08</v>
      </c>
      <c r="O6" s="17">
        <f aca="true" t="shared" si="2" ref="O6:O69">N6*$O$1</f>
        <v>56555.975280000006</v>
      </c>
      <c r="P6" s="77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06">
        <f>5.908+0.086</f>
        <v>5.994000000000001</v>
      </c>
      <c r="AA6" s="18">
        <v>0</v>
      </c>
      <c r="AB6" s="185">
        <v>5.579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91">
        <f aca="true" t="shared" si="3" ref="AJ6:AJ70">SUM(P6,Q6,R6,S6,T6,U6,V6,W6,X6,Y6,Z6,AA6,AB6,AC6,AD6,AE6,AF6,AG6,AH6,AI6)</f>
        <v>11.573</v>
      </c>
      <c r="AK6" s="5">
        <f>4963963*F6/653667.1</f>
        <v>7388.984391290307</v>
      </c>
      <c r="AL6" s="5">
        <f>3362538*F6/653567.1</f>
        <v>5005.988633760788</v>
      </c>
      <c r="AM6" s="5">
        <f>218982*F6/653567.1</f>
        <v>326.0101158702756</v>
      </c>
    </row>
    <row r="7" spans="1:36" s="65" customFormat="1" ht="15.75">
      <c r="A7" s="56">
        <v>3</v>
      </c>
      <c r="B7" s="57" t="s">
        <v>31</v>
      </c>
      <c r="C7" s="58">
        <v>1937</v>
      </c>
      <c r="D7" s="58">
        <v>2</v>
      </c>
      <c r="E7" s="58">
        <v>5</v>
      </c>
      <c r="F7" s="58">
        <v>290.8</v>
      </c>
      <c r="G7" s="58">
        <v>0</v>
      </c>
      <c r="H7" s="58">
        <f>290.8*0</f>
        <v>0</v>
      </c>
      <c r="I7" s="58"/>
      <c r="J7" s="58"/>
      <c r="K7" s="74">
        <v>1</v>
      </c>
      <c r="L7" s="60" t="s">
        <v>336</v>
      </c>
      <c r="M7" s="61">
        <v>0</v>
      </c>
      <c r="N7" s="61">
        <v>0</v>
      </c>
      <c r="O7" s="62">
        <f t="shared" si="2"/>
        <v>0</v>
      </c>
      <c r="P7" s="78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4">
        <f t="shared" si="3"/>
        <v>0</v>
      </c>
    </row>
    <row r="8" spans="1:39" ht="15.75">
      <c r="A8" s="12">
        <v>4</v>
      </c>
      <c r="B8" s="13" t="s">
        <v>32</v>
      </c>
      <c r="C8" s="14">
        <v>1959</v>
      </c>
      <c r="D8" s="14">
        <v>2</v>
      </c>
      <c r="E8" s="14">
        <v>12</v>
      </c>
      <c r="F8" s="14">
        <v>596.4</v>
      </c>
      <c r="G8" s="8">
        <v>0</v>
      </c>
      <c r="H8" s="14">
        <v>596.4</v>
      </c>
      <c r="I8" s="14"/>
      <c r="J8" s="14">
        <v>380</v>
      </c>
      <c r="K8" s="15">
        <v>2</v>
      </c>
      <c r="L8" s="10">
        <v>5.08</v>
      </c>
      <c r="M8" s="16">
        <f t="shared" si="0"/>
        <v>3029.712</v>
      </c>
      <c r="N8" s="16">
        <f t="shared" si="1"/>
        <v>36356.544</v>
      </c>
      <c r="O8" s="17">
        <f t="shared" si="2"/>
        <v>34665.964704000005</v>
      </c>
      <c r="P8" s="77">
        <v>0</v>
      </c>
      <c r="Q8" s="142">
        <f>10.176</f>
        <v>10.176</v>
      </c>
      <c r="R8" s="18">
        <v>0</v>
      </c>
      <c r="S8" s="97">
        <v>0.871</v>
      </c>
      <c r="T8" s="18">
        <v>0</v>
      </c>
      <c r="U8" s="18">
        <v>0</v>
      </c>
      <c r="V8" s="18">
        <v>0</v>
      </c>
      <c r="W8" s="18">
        <v>0</v>
      </c>
      <c r="X8" s="101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91">
        <f t="shared" si="3"/>
        <v>11.047</v>
      </c>
      <c r="AK8" s="5">
        <f>4963963*F8/653667.1</f>
        <v>4529.075324733339</v>
      </c>
      <c r="AL8" s="5">
        <f>3362538*F8/653567.1</f>
        <v>3068.418932348339</v>
      </c>
      <c r="AM8" s="5">
        <f>218982*F8/653567.1</f>
        <v>199.82778325285958</v>
      </c>
    </row>
    <row r="9" spans="1:39" ht="15.75">
      <c r="A9" s="12">
        <v>5</v>
      </c>
      <c r="B9" s="13" t="s">
        <v>33</v>
      </c>
      <c r="C9" s="14" t="s">
        <v>30</v>
      </c>
      <c r="D9" s="14">
        <v>3</v>
      </c>
      <c r="E9" s="14">
        <v>18</v>
      </c>
      <c r="F9" s="14">
        <v>984.7</v>
      </c>
      <c r="G9" s="8">
        <v>0</v>
      </c>
      <c r="H9" s="14">
        <v>984.7</v>
      </c>
      <c r="I9" s="14"/>
      <c r="J9" s="14">
        <v>584</v>
      </c>
      <c r="K9" s="15">
        <v>1</v>
      </c>
      <c r="L9" s="10">
        <v>5.08</v>
      </c>
      <c r="M9" s="16">
        <f t="shared" si="0"/>
        <v>5002.276000000001</v>
      </c>
      <c r="N9" s="16">
        <f t="shared" si="1"/>
        <v>60027.312000000005</v>
      </c>
      <c r="O9" s="17">
        <f t="shared" si="2"/>
        <v>57236.041992000006</v>
      </c>
      <c r="P9" s="103">
        <v>99.226</v>
      </c>
      <c r="Q9" s="18">
        <v>0</v>
      </c>
      <c r="R9" s="18">
        <v>0</v>
      </c>
      <c r="S9" s="97">
        <v>0.871</v>
      </c>
      <c r="T9" s="99">
        <f>79.934</f>
        <v>79.934</v>
      </c>
      <c r="U9" s="18">
        <v>0</v>
      </c>
      <c r="V9" s="18">
        <v>0</v>
      </c>
      <c r="W9" s="18">
        <v>0</v>
      </c>
      <c r="X9" s="279">
        <v>0.464</v>
      </c>
      <c r="Y9" s="107">
        <v>1.944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91">
        <f t="shared" si="3"/>
        <v>182.439</v>
      </c>
      <c r="AK9" s="5">
        <f>4963963*F9/653667.1</f>
        <v>7477.834460538094</v>
      </c>
      <c r="AL9" s="5">
        <f>3362538*F9/653567.1</f>
        <v>5066.18397498895</v>
      </c>
      <c r="AM9" s="5">
        <f>218982*F9/653567.1</f>
        <v>329.93027862020597</v>
      </c>
    </row>
    <row r="10" spans="1:39" ht="15.75">
      <c r="A10" s="12">
        <v>6</v>
      </c>
      <c r="B10" s="13" t="s">
        <v>34</v>
      </c>
      <c r="C10" s="14" t="s">
        <v>30</v>
      </c>
      <c r="D10" s="14">
        <v>2</v>
      </c>
      <c r="E10" s="14">
        <v>16</v>
      </c>
      <c r="F10" s="14">
        <v>1022.1</v>
      </c>
      <c r="G10" s="8">
        <v>0</v>
      </c>
      <c r="H10" s="14">
        <v>1010.1</v>
      </c>
      <c r="I10" s="14"/>
      <c r="J10" s="14">
        <v>554.3</v>
      </c>
      <c r="K10" s="15">
        <v>2</v>
      </c>
      <c r="L10" s="10">
        <v>5.08</v>
      </c>
      <c r="M10" s="16">
        <f t="shared" si="0"/>
        <v>5131.308</v>
      </c>
      <c r="N10" s="16">
        <f t="shared" si="1"/>
        <v>61575.695999999996</v>
      </c>
      <c r="O10" s="17">
        <f t="shared" si="2"/>
        <v>58712.426135999995</v>
      </c>
      <c r="P10" s="103">
        <v>5.722</v>
      </c>
      <c r="Q10" s="18">
        <v>0</v>
      </c>
      <c r="R10" s="18">
        <v>0</v>
      </c>
      <c r="S10" s="18">
        <v>0</v>
      </c>
      <c r="T10" s="99">
        <f>122.209</f>
        <v>122.209</v>
      </c>
      <c r="U10" s="18">
        <v>0</v>
      </c>
      <c r="V10" s="18">
        <v>0</v>
      </c>
      <c r="W10" s="18">
        <v>0</v>
      </c>
      <c r="X10" s="279">
        <f>0.232</f>
        <v>0.232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91">
        <f t="shared" si="3"/>
        <v>128.163</v>
      </c>
      <c r="AK10" s="5">
        <f>4963963*F10/653667.1</f>
        <v>7761.850921210506</v>
      </c>
      <c r="AL10" s="5">
        <f>3362538*F10/653567.1</f>
        <v>5258.60327088068</v>
      </c>
      <c r="AM10" s="5">
        <f>218982*F10/653567.1</f>
        <v>342.4613971541714</v>
      </c>
    </row>
    <row r="11" spans="1:36" s="55" customFormat="1" ht="15.75">
      <c r="A11" s="45">
        <v>7</v>
      </c>
      <c r="B11" s="46" t="s">
        <v>35</v>
      </c>
      <c r="C11" s="47" t="s">
        <v>30</v>
      </c>
      <c r="D11" s="47">
        <v>2</v>
      </c>
      <c r="E11" s="47">
        <v>8</v>
      </c>
      <c r="F11" s="47">
        <v>1026.5</v>
      </c>
      <c r="G11" s="48">
        <v>0</v>
      </c>
      <c r="H11" s="47">
        <f>1026.5-I11</f>
        <v>384.78</v>
      </c>
      <c r="I11" s="47">
        <f>234.63+407.09</f>
        <v>641.72</v>
      </c>
      <c r="J11" s="47">
        <v>681.5</v>
      </c>
      <c r="K11" s="49">
        <v>2</v>
      </c>
      <c r="L11" s="50">
        <v>5.08</v>
      </c>
      <c r="M11" s="51">
        <f t="shared" si="0"/>
        <v>1954.6824</v>
      </c>
      <c r="N11" s="51">
        <f t="shared" si="1"/>
        <v>23456.1888</v>
      </c>
      <c r="O11" s="52">
        <f t="shared" si="2"/>
        <v>22365.4760208</v>
      </c>
      <c r="P11" s="79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4">
        <f t="shared" si="3"/>
        <v>0</v>
      </c>
    </row>
    <row r="12" spans="1:39" ht="15.75">
      <c r="A12" s="12">
        <v>8</v>
      </c>
      <c r="B12" s="13" t="s">
        <v>36</v>
      </c>
      <c r="C12" s="14">
        <v>1936</v>
      </c>
      <c r="D12" s="14">
        <v>4</v>
      </c>
      <c r="E12" s="14">
        <v>34</v>
      </c>
      <c r="F12" s="14">
        <v>2826.5</v>
      </c>
      <c r="G12" s="8">
        <v>158.5</v>
      </c>
      <c r="H12" s="14">
        <f>2668</f>
        <v>2668</v>
      </c>
      <c r="I12" s="14"/>
      <c r="J12" s="14">
        <f>1703</f>
        <v>1703</v>
      </c>
      <c r="K12" s="15">
        <v>4</v>
      </c>
      <c r="L12" s="10">
        <v>5.08</v>
      </c>
      <c r="M12" s="16">
        <f t="shared" si="0"/>
        <v>13553.44</v>
      </c>
      <c r="N12" s="16">
        <f>L12*H12*12</f>
        <v>162641.28</v>
      </c>
      <c r="O12" s="17">
        <f t="shared" si="2"/>
        <v>155078.46048</v>
      </c>
      <c r="P12" s="103">
        <v>6.429</v>
      </c>
      <c r="Q12" s="18">
        <v>0</v>
      </c>
      <c r="R12" s="18">
        <v>0</v>
      </c>
      <c r="S12" s="97">
        <v>0.174</v>
      </c>
      <c r="T12" s="18">
        <v>0</v>
      </c>
      <c r="U12" s="96">
        <f>9.858</f>
        <v>9.858</v>
      </c>
      <c r="V12" s="18">
        <v>0</v>
      </c>
      <c r="W12" s="18">
        <v>0</v>
      </c>
      <c r="X12" s="18">
        <v>0</v>
      </c>
      <c r="Y12" s="107">
        <v>7.978</v>
      </c>
      <c r="Z12" s="106">
        <v>5.898</v>
      </c>
      <c r="AA12" s="110">
        <v>3.506</v>
      </c>
      <c r="AB12" s="185">
        <v>15.597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91">
        <f t="shared" si="3"/>
        <v>49.44</v>
      </c>
      <c r="AK12" s="5">
        <f>4963963*F12/653667.1</f>
        <v>21464.50604520252</v>
      </c>
      <c r="AL12" s="5">
        <f>3362538*F12/653567.1</f>
        <v>14542.06256251271</v>
      </c>
      <c r="AM12" s="5">
        <f>218982*F12/653567.1</f>
        <v>947.0376079212066</v>
      </c>
    </row>
    <row r="13" spans="1:39" ht="15.75">
      <c r="A13" s="12">
        <v>9</v>
      </c>
      <c r="B13" s="13" t="s">
        <v>37</v>
      </c>
      <c r="C13" s="14">
        <v>1937</v>
      </c>
      <c r="D13" s="14">
        <v>4</v>
      </c>
      <c r="E13" s="14">
        <v>34</v>
      </c>
      <c r="F13" s="14">
        <v>2702.2</v>
      </c>
      <c r="G13" s="8">
        <v>111.9</v>
      </c>
      <c r="H13" s="14">
        <v>2702.2</v>
      </c>
      <c r="I13" s="14"/>
      <c r="J13" s="14">
        <v>1724.3</v>
      </c>
      <c r="K13" s="15">
        <v>4</v>
      </c>
      <c r="L13" s="10">
        <v>5.08</v>
      </c>
      <c r="M13" s="16">
        <f t="shared" si="0"/>
        <v>13727.176</v>
      </c>
      <c r="N13" s="16">
        <f t="shared" si="1"/>
        <v>164726.112</v>
      </c>
      <c r="O13" s="17">
        <f t="shared" si="2"/>
        <v>157066.347792</v>
      </c>
      <c r="P13" s="103">
        <v>0.906</v>
      </c>
      <c r="Q13" s="18">
        <v>0</v>
      </c>
      <c r="R13" s="18">
        <v>0</v>
      </c>
      <c r="S13" s="97">
        <v>2.311</v>
      </c>
      <c r="T13" s="18">
        <v>0</v>
      </c>
      <c r="U13" s="18">
        <v>0</v>
      </c>
      <c r="V13" s="18">
        <v>0</v>
      </c>
      <c r="W13" s="18">
        <v>0</v>
      </c>
      <c r="X13" s="279">
        <f>11.23</f>
        <v>11.23</v>
      </c>
      <c r="Y13" s="107">
        <v>7.486</v>
      </c>
      <c r="Z13" s="18">
        <v>0</v>
      </c>
      <c r="AA13" s="110">
        <v>5.195</v>
      </c>
      <c r="AB13" s="18">
        <v>0</v>
      </c>
      <c r="AC13" s="187">
        <v>2.297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91">
        <f t="shared" si="3"/>
        <v>29.425</v>
      </c>
      <c r="AK13" s="5">
        <f>4963963*F13/653667.1</f>
        <v>20520.56898473244</v>
      </c>
      <c r="AL13" s="5">
        <f>3362538*F13/653567.1</f>
        <v>13902.551373225486</v>
      </c>
      <c r="AM13" s="5">
        <f>218982*F13/653567.1</f>
        <v>905.3900669112628</v>
      </c>
    </row>
    <row r="14" spans="1:39" ht="15.75">
      <c r="A14" s="12">
        <v>10</v>
      </c>
      <c r="B14" s="13" t="s">
        <v>38</v>
      </c>
      <c r="C14" s="14">
        <v>1977</v>
      </c>
      <c r="D14" s="14">
        <v>5</v>
      </c>
      <c r="E14" s="14">
        <v>56</v>
      </c>
      <c r="F14" s="14">
        <v>4079.3</v>
      </c>
      <c r="G14" s="8">
        <v>1340.2</v>
      </c>
      <c r="H14" s="14">
        <v>2739.1</v>
      </c>
      <c r="I14" s="14"/>
      <c r="J14" s="14">
        <v>1848</v>
      </c>
      <c r="K14" s="15">
        <v>4</v>
      </c>
      <c r="L14" s="10">
        <v>5.08</v>
      </c>
      <c r="M14" s="16">
        <f t="shared" si="0"/>
        <v>13914.628</v>
      </c>
      <c r="N14" s="16">
        <f t="shared" si="1"/>
        <v>166975.53600000002</v>
      </c>
      <c r="O14" s="17">
        <f t="shared" si="2"/>
        <v>159211.17357600003</v>
      </c>
      <c r="P14" s="103">
        <v>4.821</v>
      </c>
      <c r="Q14" s="18">
        <v>0</v>
      </c>
      <c r="R14" s="18">
        <v>0</v>
      </c>
      <c r="S14" s="18">
        <v>0</v>
      </c>
      <c r="T14" s="99">
        <f>245.78+5.956</f>
        <v>251.736</v>
      </c>
      <c r="U14" s="18">
        <v>0</v>
      </c>
      <c r="V14" s="18">
        <v>0</v>
      </c>
      <c r="W14" s="18">
        <v>0</v>
      </c>
      <c r="X14" s="18">
        <v>0</v>
      </c>
      <c r="Y14" s="107">
        <v>3.232</v>
      </c>
      <c r="Z14" s="18">
        <v>0</v>
      </c>
      <c r="AA14" s="18">
        <v>0</v>
      </c>
      <c r="AB14" s="185">
        <f>9.598+8.486</f>
        <v>18.084000000000003</v>
      </c>
      <c r="AC14" s="187">
        <v>9.09308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91">
        <f t="shared" si="3"/>
        <v>286.96608000000003</v>
      </c>
      <c r="AK14" s="5">
        <f>4963963*F14/653667.1</f>
        <v>30978.298075427083</v>
      </c>
      <c r="AL14" s="5">
        <f>3362538*F14/653567.1</f>
        <v>20987.594484789704</v>
      </c>
      <c r="AM14" s="5">
        <f>218982*F14/653567.1</f>
        <v>1366.7965731445172</v>
      </c>
    </row>
    <row r="15" spans="1:39" ht="15.75">
      <c r="A15" s="12">
        <v>11</v>
      </c>
      <c r="B15" s="13" t="s">
        <v>39</v>
      </c>
      <c r="C15" s="14">
        <v>1962</v>
      </c>
      <c r="D15" s="14">
        <v>3</v>
      </c>
      <c r="E15" s="14">
        <v>36</v>
      </c>
      <c r="F15" s="14">
        <v>1544.3</v>
      </c>
      <c r="G15" s="8">
        <v>0</v>
      </c>
      <c r="H15" s="14">
        <v>1544.3</v>
      </c>
      <c r="I15" s="14"/>
      <c r="J15" s="14">
        <v>1012.6</v>
      </c>
      <c r="K15" s="15">
        <v>3</v>
      </c>
      <c r="L15" s="10">
        <v>5.08</v>
      </c>
      <c r="M15" s="16">
        <f t="shared" si="0"/>
        <v>7845.044</v>
      </c>
      <c r="N15" s="16">
        <f t="shared" si="1"/>
        <v>94140.52799999999</v>
      </c>
      <c r="O15" s="17">
        <f t="shared" si="2"/>
        <v>89762.993448</v>
      </c>
      <c r="P15" s="77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04">
        <v>0.815</v>
      </c>
      <c r="W15" s="18">
        <v>0</v>
      </c>
      <c r="X15" s="18">
        <v>0</v>
      </c>
      <c r="Y15" s="18">
        <v>0</v>
      </c>
      <c r="Z15" s="18">
        <v>0</v>
      </c>
      <c r="AA15" s="108">
        <v>1.016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91">
        <f t="shared" si="3"/>
        <v>1.831</v>
      </c>
      <c r="AK15" s="5">
        <f>4963963*F15/653667.1</f>
        <v>11727.449738406598</v>
      </c>
      <c r="AL15" s="5">
        <f>3362538*F15/653567.1</f>
        <v>7945.27055202136</v>
      </c>
      <c r="AM15" s="5">
        <f>218982*F15/653567.1</f>
        <v>517.427977326276</v>
      </c>
    </row>
    <row r="16" spans="1:36" s="93" customFormat="1" ht="15.75">
      <c r="A16" s="82">
        <v>12</v>
      </c>
      <c r="B16" s="83" t="s">
        <v>40</v>
      </c>
      <c r="C16" s="84" t="s">
        <v>30</v>
      </c>
      <c r="D16" s="84">
        <v>2</v>
      </c>
      <c r="E16" s="84">
        <v>8</v>
      </c>
      <c r="F16" s="84">
        <v>1028.7</v>
      </c>
      <c r="G16" s="85">
        <v>0</v>
      </c>
      <c r="H16" s="84">
        <f>1028.7-I16</f>
        <v>78.04000000000008</v>
      </c>
      <c r="I16" s="84">
        <f>161.74+788.92</f>
        <v>950.66</v>
      </c>
      <c r="J16" s="84">
        <v>679.1</v>
      </c>
      <c r="K16" s="86">
        <v>2</v>
      </c>
      <c r="L16" s="87">
        <v>5.08</v>
      </c>
      <c r="M16" s="88">
        <f t="shared" si="0"/>
        <v>396.4432000000004</v>
      </c>
      <c r="N16" s="88">
        <f t="shared" si="1"/>
        <v>4757.318400000005</v>
      </c>
      <c r="O16" s="89">
        <f t="shared" si="2"/>
        <v>4536.103094400005</v>
      </c>
      <c r="P16" s="90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2">
        <f t="shared" si="3"/>
        <v>0</v>
      </c>
    </row>
    <row r="17" spans="1:39" ht="15.75">
      <c r="A17" s="12">
        <v>13</v>
      </c>
      <c r="B17" s="13" t="s">
        <v>41</v>
      </c>
      <c r="C17" s="14">
        <v>1962</v>
      </c>
      <c r="D17" s="14">
        <v>3</v>
      </c>
      <c r="E17" s="14">
        <v>36</v>
      </c>
      <c r="F17" s="14">
        <v>1479.3</v>
      </c>
      <c r="G17" s="8">
        <v>0</v>
      </c>
      <c r="H17" s="14">
        <v>1479.3</v>
      </c>
      <c r="I17" s="14"/>
      <c r="J17" s="14">
        <v>1004.5</v>
      </c>
      <c r="K17" s="15">
        <v>3</v>
      </c>
      <c r="L17" s="10">
        <v>5.08</v>
      </c>
      <c r="M17" s="16">
        <f t="shared" si="0"/>
        <v>7514.844</v>
      </c>
      <c r="N17" s="16">
        <f t="shared" si="1"/>
        <v>90178.128</v>
      </c>
      <c r="O17" s="17">
        <f t="shared" si="2"/>
        <v>85984.845048</v>
      </c>
      <c r="P17" s="77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10">
        <v>2.747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91">
        <f t="shared" si="3"/>
        <v>2.747</v>
      </c>
      <c r="AK17" s="5">
        <f aca="true" t="shared" si="4" ref="AK17:AK37">4963963*F17/653667.1</f>
        <v>11233.83824258556</v>
      </c>
      <c r="AL17" s="5">
        <f aca="true" t="shared" si="5" ref="AL17:AL37">3362538*F17/653567.1</f>
        <v>7610.851989642685</v>
      </c>
      <c r="AM17" s="5">
        <f aca="true" t="shared" si="6" ref="AM17:AM37">218982*F17/653567.1</f>
        <v>495.64929538221855</v>
      </c>
    </row>
    <row r="18" spans="1:39" ht="15.75">
      <c r="A18" s="12">
        <v>14</v>
      </c>
      <c r="B18" s="13" t="s">
        <v>42</v>
      </c>
      <c r="C18" s="14">
        <v>1968</v>
      </c>
      <c r="D18" s="14">
        <v>5</v>
      </c>
      <c r="E18" s="14">
        <v>80</v>
      </c>
      <c r="F18" s="14">
        <v>4454.8</v>
      </c>
      <c r="G18" s="8">
        <v>917.9</v>
      </c>
      <c r="H18" s="14">
        <v>3536.9</v>
      </c>
      <c r="I18" s="14"/>
      <c r="J18" s="14">
        <v>2362</v>
      </c>
      <c r="K18" s="15">
        <v>3</v>
      </c>
      <c r="L18" s="10">
        <v>5.08</v>
      </c>
      <c r="M18" s="16">
        <f t="shared" si="0"/>
        <v>17967.452</v>
      </c>
      <c r="N18" s="16">
        <f t="shared" si="1"/>
        <v>215609.424</v>
      </c>
      <c r="O18" s="17">
        <f t="shared" si="2"/>
        <v>205583.585784</v>
      </c>
      <c r="P18" s="77">
        <v>0</v>
      </c>
      <c r="Q18" s="18">
        <v>0</v>
      </c>
      <c r="R18" s="18">
        <v>0</v>
      </c>
      <c r="S18" s="97">
        <v>0.935</v>
      </c>
      <c r="T18" s="18">
        <v>0</v>
      </c>
      <c r="U18" s="96">
        <v>9.849</v>
      </c>
      <c r="V18" s="18">
        <v>0</v>
      </c>
      <c r="W18" s="18">
        <v>0</v>
      </c>
      <c r="X18" s="18">
        <v>0</v>
      </c>
      <c r="Y18" s="107">
        <v>13.044</v>
      </c>
      <c r="Z18" s="106">
        <v>11.816</v>
      </c>
      <c r="AA18" s="110">
        <v>10.587</v>
      </c>
      <c r="AB18" s="18">
        <v>0</v>
      </c>
      <c r="AC18" s="186">
        <v>18.14139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91">
        <f t="shared" si="3"/>
        <v>64.37239000000001</v>
      </c>
      <c r="AK18" s="5">
        <f t="shared" si="4"/>
        <v>33829.85371667016</v>
      </c>
      <c r="AL18" s="5">
        <f t="shared" si="5"/>
        <v>22919.504795146517</v>
      </c>
      <c r="AM18" s="5">
        <f t="shared" si="6"/>
        <v>1492.6103434521108</v>
      </c>
    </row>
    <row r="19" spans="1:39" ht="15.75">
      <c r="A19" s="12">
        <v>15</v>
      </c>
      <c r="B19" s="13" t="s">
        <v>43</v>
      </c>
      <c r="C19" s="14">
        <v>1971</v>
      </c>
      <c r="D19" s="14">
        <v>5</v>
      </c>
      <c r="E19" s="14">
        <v>80</v>
      </c>
      <c r="F19" s="14">
        <v>4742</v>
      </c>
      <c r="G19" s="8">
        <v>1190.4</v>
      </c>
      <c r="H19" s="14">
        <v>3551.6</v>
      </c>
      <c r="I19" s="14"/>
      <c r="J19" s="14">
        <v>2353</v>
      </c>
      <c r="K19" s="15">
        <v>5</v>
      </c>
      <c r="L19" s="10">
        <v>5.08</v>
      </c>
      <c r="M19" s="16">
        <f t="shared" si="0"/>
        <v>18042.128</v>
      </c>
      <c r="N19" s="16">
        <f>M19*$N$1</f>
        <v>216505.53600000002</v>
      </c>
      <c r="O19" s="17">
        <f t="shared" si="2"/>
        <v>206438.028576</v>
      </c>
      <c r="P19" s="103">
        <v>10.409</v>
      </c>
      <c r="Q19" s="18">
        <v>0</v>
      </c>
      <c r="R19" s="18">
        <v>0</v>
      </c>
      <c r="S19" s="97">
        <v>1.741</v>
      </c>
      <c r="T19" s="99">
        <f>95.433+95.263+48.17</f>
        <v>238.86600000000004</v>
      </c>
      <c r="U19" s="96">
        <f>0.4227</f>
        <v>0.4227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10">
        <v>4.693</v>
      </c>
      <c r="AB19" s="185">
        <f>0.497+0.7775</f>
        <v>1.2745</v>
      </c>
      <c r="AC19" s="186">
        <f>4.8666+0.274+77.259+6.309</f>
        <v>88.7086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91">
        <f t="shared" si="3"/>
        <v>346.1148</v>
      </c>
      <c r="AK19" s="5">
        <f t="shared" si="4"/>
        <v>36010.85712589788</v>
      </c>
      <c r="AL19" s="5">
        <f t="shared" si="5"/>
        <v>24397.12035076429</v>
      </c>
      <c r="AM19" s="5">
        <f t="shared" si="6"/>
        <v>1588.8386119803154</v>
      </c>
    </row>
    <row r="20" spans="1:39" ht="15.75">
      <c r="A20" s="12">
        <v>16</v>
      </c>
      <c r="B20" s="13" t="s">
        <v>44</v>
      </c>
      <c r="C20" s="14">
        <v>1965</v>
      </c>
      <c r="D20" s="14">
        <v>5</v>
      </c>
      <c r="E20" s="14">
        <v>80</v>
      </c>
      <c r="F20" s="14">
        <v>3540.7</v>
      </c>
      <c r="G20" s="8">
        <v>0</v>
      </c>
      <c r="H20" s="14">
        <v>3540.7</v>
      </c>
      <c r="I20" s="14"/>
      <c r="J20" s="14">
        <v>2393</v>
      </c>
      <c r="K20" s="15">
        <v>4</v>
      </c>
      <c r="L20" s="10">
        <v>5.08</v>
      </c>
      <c r="M20" s="16">
        <f t="shared" si="0"/>
        <v>17986.755999999998</v>
      </c>
      <c r="N20" s="16">
        <f t="shared" si="1"/>
        <v>215841.072</v>
      </c>
      <c r="O20" s="17">
        <f t="shared" si="2"/>
        <v>205804.462152</v>
      </c>
      <c r="P20" s="103">
        <f>10.403+2.525</f>
        <v>12.928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07">
        <v>4.848</v>
      </c>
      <c r="Z20" s="106">
        <v>3.475</v>
      </c>
      <c r="AA20" s="110">
        <v>18.488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91">
        <f t="shared" si="3"/>
        <v>39.739000000000004</v>
      </c>
      <c r="AK20" s="5">
        <f t="shared" si="4"/>
        <v>26888.15728082383</v>
      </c>
      <c r="AL20" s="5">
        <f t="shared" si="5"/>
        <v>18216.5508279104</v>
      </c>
      <c r="AM20" s="5">
        <f t="shared" si="6"/>
        <v>1186.3350639896041</v>
      </c>
    </row>
    <row r="21" spans="1:39" ht="15.75">
      <c r="A21" s="12">
        <v>17</v>
      </c>
      <c r="B21" s="13" t="s">
        <v>45</v>
      </c>
      <c r="C21" s="14">
        <v>1975</v>
      </c>
      <c r="D21" s="14">
        <v>5</v>
      </c>
      <c r="E21" s="14">
        <v>56</v>
      </c>
      <c r="F21" s="14">
        <v>3558.8</v>
      </c>
      <c r="G21" s="8">
        <v>830.2</v>
      </c>
      <c r="H21" s="14">
        <v>2728.6</v>
      </c>
      <c r="I21" s="14"/>
      <c r="J21" s="14">
        <v>1829.9</v>
      </c>
      <c r="K21" s="15">
        <v>4</v>
      </c>
      <c r="L21" s="10">
        <v>5.08</v>
      </c>
      <c r="M21" s="16">
        <f t="shared" si="0"/>
        <v>13861.288</v>
      </c>
      <c r="N21" s="16">
        <f t="shared" si="1"/>
        <v>166335.456</v>
      </c>
      <c r="O21" s="17">
        <f t="shared" si="2"/>
        <v>158600.857296</v>
      </c>
      <c r="P21" s="103">
        <f>9.017+5.764+23.382</f>
        <v>38.163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04">
        <v>1.276</v>
      </c>
      <c r="W21" s="18">
        <v>0</v>
      </c>
      <c r="X21" s="279">
        <f>15.31</f>
        <v>15.31</v>
      </c>
      <c r="Y21" s="107">
        <v>6.238</v>
      </c>
      <c r="Z21" s="106">
        <v>23.632</v>
      </c>
      <c r="AA21" s="110">
        <v>0.901</v>
      </c>
      <c r="AB21" s="18">
        <v>0</v>
      </c>
      <c r="AC21" s="187">
        <v>0.231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91">
        <f t="shared" si="3"/>
        <v>85.75099999999999</v>
      </c>
      <c r="AK21" s="5">
        <f t="shared" si="4"/>
        <v>27025.609097352462</v>
      </c>
      <c r="AL21" s="5">
        <f t="shared" si="5"/>
        <v>18309.673535280464</v>
      </c>
      <c r="AM21" s="5">
        <f t="shared" si="6"/>
        <v>1192.399589269411</v>
      </c>
    </row>
    <row r="22" spans="1:39" ht="15.75">
      <c r="A22" s="12">
        <v>18</v>
      </c>
      <c r="B22" s="13" t="s">
        <v>46</v>
      </c>
      <c r="C22" s="14">
        <v>1966</v>
      </c>
      <c r="D22" s="14">
        <v>5</v>
      </c>
      <c r="E22" s="14">
        <v>80</v>
      </c>
      <c r="F22" s="14">
        <v>3530.6</v>
      </c>
      <c r="G22" s="8">
        <v>0</v>
      </c>
      <c r="H22" s="14">
        <v>3530.6</v>
      </c>
      <c r="I22" s="14"/>
      <c r="J22" s="14">
        <v>2387.4</v>
      </c>
      <c r="K22" s="15">
        <v>4</v>
      </c>
      <c r="L22" s="10">
        <v>5.08</v>
      </c>
      <c r="M22" s="16">
        <f t="shared" si="0"/>
        <v>17935.448</v>
      </c>
      <c r="N22" s="16">
        <f t="shared" si="1"/>
        <v>215225.376</v>
      </c>
      <c r="O22" s="17">
        <f t="shared" si="2"/>
        <v>205217.39601599998</v>
      </c>
      <c r="P22" s="103">
        <v>14.695</v>
      </c>
      <c r="Q22" s="18">
        <v>0</v>
      </c>
      <c r="R22" s="184">
        <v>106.418</v>
      </c>
      <c r="S22" s="18">
        <v>0</v>
      </c>
      <c r="T22" s="18">
        <v>0</v>
      </c>
      <c r="U22" s="96">
        <f>26.372+30.183</f>
        <v>56.555</v>
      </c>
      <c r="V22" s="18">
        <v>0</v>
      </c>
      <c r="W22" s="18">
        <v>0</v>
      </c>
      <c r="X22" s="18">
        <v>0</v>
      </c>
      <c r="Y22" s="107">
        <v>9.697</v>
      </c>
      <c r="Z22" s="106">
        <v>0.086</v>
      </c>
      <c r="AA22" s="110">
        <v>5.36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91">
        <f t="shared" si="3"/>
        <v>192.81100000000004</v>
      </c>
      <c r="AK22" s="5">
        <f t="shared" si="4"/>
        <v>26811.457648396256</v>
      </c>
      <c r="AL22" s="5">
        <f t="shared" si="5"/>
        <v>18164.587328217713</v>
      </c>
      <c r="AM22" s="5">
        <f t="shared" si="6"/>
        <v>1182.9509918721428</v>
      </c>
    </row>
    <row r="23" spans="1:39" ht="15.75">
      <c r="A23" s="12">
        <v>19</v>
      </c>
      <c r="B23" s="13" t="s">
        <v>47</v>
      </c>
      <c r="C23" s="14">
        <v>1968</v>
      </c>
      <c r="D23" s="14">
        <v>5</v>
      </c>
      <c r="E23" s="14">
        <v>60</v>
      </c>
      <c r="F23" s="14">
        <v>2592.3</v>
      </c>
      <c r="G23" s="8">
        <v>0</v>
      </c>
      <c r="H23" s="14">
        <v>2592.3</v>
      </c>
      <c r="I23" s="14"/>
      <c r="J23" s="14">
        <v>1674</v>
      </c>
      <c r="K23" s="15">
        <v>3</v>
      </c>
      <c r="L23" s="10">
        <v>5.08</v>
      </c>
      <c r="M23" s="16">
        <f t="shared" si="0"/>
        <v>13168.884000000002</v>
      </c>
      <c r="N23" s="16">
        <f t="shared" si="1"/>
        <v>158026.608</v>
      </c>
      <c r="O23" s="17">
        <f t="shared" si="2"/>
        <v>150678.370728</v>
      </c>
      <c r="P23" s="77">
        <v>0</v>
      </c>
      <c r="Q23" s="18">
        <v>0</v>
      </c>
      <c r="R23" s="18">
        <v>0</v>
      </c>
      <c r="S23" s="97">
        <v>9.5355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06">
        <f>5.975+29.875</f>
        <v>35.85</v>
      </c>
      <c r="AA23" s="110">
        <v>4.687</v>
      </c>
      <c r="AB23" s="185">
        <v>8.768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91">
        <f t="shared" si="3"/>
        <v>58.8405</v>
      </c>
      <c r="AK23" s="5">
        <f t="shared" si="4"/>
        <v>19685.98585564426</v>
      </c>
      <c r="AL23" s="5">
        <f t="shared" si="5"/>
        <v>13337.126757757545</v>
      </c>
      <c r="AM23" s="5">
        <f t="shared" si="6"/>
        <v>868.5673415935411</v>
      </c>
    </row>
    <row r="24" spans="1:39" ht="15.75">
      <c r="A24" s="12">
        <v>20</v>
      </c>
      <c r="B24" s="13" t="s">
        <v>48</v>
      </c>
      <c r="C24" s="14">
        <v>1967</v>
      </c>
      <c r="D24" s="14">
        <v>5</v>
      </c>
      <c r="E24" s="14">
        <v>80</v>
      </c>
      <c r="F24" s="14">
        <v>4711.4</v>
      </c>
      <c r="G24" s="8">
        <v>1178.7</v>
      </c>
      <c r="H24" s="14">
        <v>3532.7</v>
      </c>
      <c r="I24" s="14"/>
      <c r="J24" s="14">
        <v>2345.8</v>
      </c>
      <c r="K24" s="15">
        <v>5</v>
      </c>
      <c r="L24" s="10">
        <v>5.08</v>
      </c>
      <c r="M24" s="16">
        <f t="shared" si="0"/>
        <v>17946.115999999998</v>
      </c>
      <c r="N24" s="16">
        <f>M24*$N$1</f>
        <v>215353.392</v>
      </c>
      <c r="O24" s="17">
        <f t="shared" si="2"/>
        <v>205339.459272</v>
      </c>
      <c r="P24" s="103">
        <f>38.695+25.014</f>
        <v>63.709</v>
      </c>
      <c r="Q24" s="18">
        <v>0</v>
      </c>
      <c r="R24" s="18">
        <v>0</v>
      </c>
      <c r="S24" s="18">
        <v>0</v>
      </c>
      <c r="T24" s="18">
        <v>0</v>
      </c>
      <c r="U24" s="96">
        <f>4.698</f>
        <v>4.698</v>
      </c>
      <c r="V24" s="18">
        <v>0</v>
      </c>
      <c r="W24" s="18">
        <v>0</v>
      </c>
      <c r="X24" s="279">
        <f>5.185</f>
        <v>5.185</v>
      </c>
      <c r="Y24" s="18">
        <v>0</v>
      </c>
      <c r="Z24" s="106">
        <v>5.898</v>
      </c>
      <c r="AA24" s="18">
        <v>0</v>
      </c>
      <c r="AB24" s="18">
        <v>0</v>
      </c>
      <c r="AC24" s="187">
        <f>2.953+0.692</f>
        <v>3.6449999999999996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91">
        <f t="shared" si="3"/>
        <v>83.135</v>
      </c>
      <c r="AK24" s="5">
        <f t="shared" si="4"/>
        <v>35778.48002171135</v>
      </c>
      <c r="AL24" s="5">
        <f t="shared" si="5"/>
        <v>24239.68638139833</v>
      </c>
      <c r="AM24" s="5">
        <f t="shared" si="6"/>
        <v>1578.5858786343438</v>
      </c>
    </row>
    <row r="25" spans="1:39" ht="15.75">
      <c r="A25" s="12">
        <v>21</v>
      </c>
      <c r="B25" s="13" t="s">
        <v>49</v>
      </c>
      <c r="C25" s="14">
        <v>1969</v>
      </c>
      <c r="D25" s="14">
        <v>5</v>
      </c>
      <c r="E25" s="14">
        <v>60</v>
      </c>
      <c r="F25" s="14">
        <v>2586.8</v>
      </c>
      <c r="G25" s="8">
        <v>0</v>
      </c>
      <c r="H25" s="14">
        <v>2586.8</v>
      </c>
      <c r="I25" s="14"/>
      <c r="J25" s="14">
        <v>1661.7</v>
      </c>
      <c r="K25" s="15">
        <v>3</v>
      </c>
      <c r="L25" s="10">
        <v>5.08</v>
      </c>
      <c r="M25" s="16">
        <f t="shared" si="0"/>
        <v>13140.944000000001</v>
      </c>
      <c r="N25" s="16">
        <f t="shared" si="1"/>
        <v>157691.328</v>
      </c>
      <c r="O25" s="17">
        <f t="shared" si="2"/>
        <v>150358.681248</v>
      </c>
      <c r="P25" s="103">
        <v>25.014</v>
      </c>
      <c r="Q25" s="18">
        <v>0</v>
      </c>
      <c r="R25" s="18">
        <v>0</v>
      </c>
      <c r="S25" s="18">
        <v>0</v>
      </c>
      <c r="T25" s="99">
        <f>191.16</f>
        <v>191.16</v>
      </c>
      <c r="U25" s="18">
        <v>0</v>
      </c>
      <c r="V25" s="18">
        <v>0</v>
      </c>
      <c r="W25" s="18">
        <v>0</v>
      </c>
      <c r="X25" s="18">
        <v>0</v>
      </c>
      <c r="Y25" s="107">
        <v>2.136</v>
      </c>
      <c r="Z25" s="106">
        <v>10.764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91">
        <f t="shared" si="3"/>
        <v>229.074</v>
      </c>
      <c r="AK25" s="5">
        <f t="shared" si="4"/>
        <v>19644.218729074786</v>
      </c>
      <c r="AL25" s="5">
        <f t="shared" si="5"/>
        <v>13308.829802479351</v>
      </c>
      <c r="AM25" s="5">
        <f t="shared" si="6"/>
        <v>866.7245300444285</v>
      </c>
    </row>
    <row r="26" spans="1:39" ht="15.75">
      <c r="A26" s="12">
        <v>22</v>
      </c>
      <c r="B26" s="13" t="s">
        <v>50</v>
      </c>
      <c r="C26" s="14">
        <v>1968</v>
      </c>
      <c r="D26" s="14">
        <v>5</v>
      </c>
      <c r="E26" s="14">
        <v>80</v>
      </c>
      <c r="F26" s="14">
        <v>3576.4</v>
      </c>
      <c r="G26" s="8">
        <v>0</v>
      </c>
      <c r="H26" s="14">
        <v>3576.4</v>
      </c>
      <c r="I26" s="14"/>
      <c r="J26" s="14">
        <v>2310.4</v>
      </c>
      <c r="K26" s="15">
        <v>4</v>
      </c>
      <c r="L26" s="10">
        <v>5.08</v>
      </c>
      <c r="M26" s="16">
        <f t="shared" si="0"/>
        <v>18168.112</v>
      </c>
      <c r="N26" s="16">
        <f t="shared" si="1"/>
        <v>218017.344</v>
      </c>
      <c r="O26" s="17">
        <f t="shared" si="2"/>
        <v>207879.537504</v>
      </c>
      <c r="P26" s="103">
        <v>1.607</v>
      </c>
      <c r="Q26" s="18">
        <v>0</v>
      </c>
      <c r="R26" s="184">
        <v>24.48</v>
      </c>
      <c r="S26" s="18">
        <v>0</v>
      </c>
      <c r="T26" s="100">
        <v>7.125</v>
      </c>
      <c r="U26" s="96">
        <f>0.19</f>
        <v>0.19</v>
      </c>
      <c r="V26" s="18">
        <v>0</v>
      </c>
      <c r="W26" s="18">
        <v>0</v>
      </c>
      <c r="X26" s="18">
        <v>0</v>
      </c>
      <c r="Y26" s="107">
        <v>11.781</v>
      </c>
      <c r="Z26" s="106">
        <v>23.632</v>
      </c>
      <c r="AA26" s="110">
        <v>4.443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91">
        <f t="shared" si="3"/>
        <v>73.258</v>
      </c>
      <c r="AK26" s="5">
        <f t="shared" si="4"/>
        <v>27159.263902374772</v>
      </c>
      <c r="AL26" s="5">
        <f t="shared" si="5"/>
        <v>18400.22379217069</v>
      </c>
      <c r="AM26" s="5">
        <f t="shared" si="6"/>
        <v>1198.2965862265712</v>
      </c>
    </row>
    <row r="27" spans="1:39" ht="15.75">
      <c r="A27" s="12">
        <v>23</v>
      </c>
      <c r="B27" s="13" t="s">
        <v>51</v>
      </c>
      <c r="C27" s="14">
        <v>1967</v>
      </c>
      <c r="D27" s="14">
        <v>5</v>
      </c>
      <c r="E27" s="14">
        <v>60</v>
      </c>
      <c r="F27" s="14">
        <v>2554.3</v>
      </c>
      <c r="G27" s="8">
        <v>0</v>
      </c>
      <c r="H27" s="14">
        <v>2554.3</v>
      </c>
      <c r="I27" s="14"/>
      <c r="J27" s="14">
        <v>1696.8</v>
      </c>
      <c r="K27" s="15">
        <v>5</v>
      </c>
      <c r="L27" s="10">
        <v>5.08</v>
      </c>
      <c r="M27" s="16">
        <f t="shared" si="0"/>
        <v>12975.844000000001</v>
      </c>
      <c r="N27" s="16">
        <f t="shared" si="1"/>
        <v>155710.12800000003</v>
      </c>
      <c r="O27" s="17">
        <f t="shared" si="2"/>
        <v>148469.60704800003</v>
      </c>
      <c r="P27" s="103">
        <v>24.539</v>
      </c>
      <c r="Q27" s="18">
        <v>0</v>
      </c>
      <c r="R27" s="18">
        <v>0</v>
      </c>
      <c r="S27" s="97">
        <f>0.935+1.045</f>
        <v>1.98</v>
      </c>
      <c r="T27" s="100">
        <v>0.664</v>
      </c>
      <c r="U27" s="96">
        <f>0.507+7.528</f>
        <v>8.035</v>
      </c>
      <c r="V27" s="104">
        <f>0.695+3.422+1.541</f>
        <v>5.6579999999999995</v>
      </c>
      <c r="W27" s="18">
        <v>0</v>
      </c>
      <c r="X27" s="18">
        <v>0</v>
      </c>
      <c r="Y27" s="18">
        <v>0</v>
      </c>
      <c r="Z27" s="18">
        <v>0</v>
      </c>
      <c r="AA27" s="110">
        <v>2.747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91">
        <f t="shared" si="3"/>
        <v>43.623000000000005</v>
      </c>
      <c r="AK27" s="5">
        <f t="shared" si="4"/>
        <v>19397.412981164267</v>
      </c>
      <c r="AL27" s="5">
        <f t="shared" si="5"/>
        <v>13141.620521290011</v>
      </c>
      <c r="AM27" s="5">
        <f t="shared" si="6"/>
        <v>855.8351890723998</v>
      </c>
    </row>
    <row r="28" spans="1:39" ht="15.75">
      <c r="A28" s="12">
        <v>24</v>
      </c>
      <c r="B28" s="13" t="s">
        <v>52</v>
      </c>
      <c r="C28" s="14">
        <v>1966</v>
      </c>
      <c r="D28" s="14">
        <v>5</v>
      </c>
      <c r="E28" s="14">
        <v>80</v>
      </c>
      <c r="F28" s="14">
        <v>4977.7</v>
      </c>
      <c r="G28" s="8">
        <v>1486.9</v>
      </c>
      <c r="H28" s="14">
        <v>3490.8</v>
      </c>
      <c r="I28" s="14"/>
      <c r="J28" s="14">
        <v>2345</v>
      </c>
      <c r="K28" s="15">
        <v>5</v>
      </c>
      <c r="L28" s="10">
        <v>5.08</v>
      </c>
      <c r="M28" s="16">
        <f t="shared" si="0"/>
        <v>17733.264000000003</v>
      </c>
      <c r="N28" s="16">
        <f t="shared" si="1"/>
        <v>212799.16800000003</v>
      </c>
      <c r="O28" s="17">
        <f t="shared" si="2"/>
        <v>202904.00668800002</v>
      </c>
      <c r="P28" s="103">
        <v>37.163</v>
      </c>
      <c r="Q28" s="18">
        <v>0</v>
      </c>
      <c r="R28" s="18">
        <v>0</v>
      </c>
      <c r="S28" s="18">
        <v>0</v>
      </c>
      <c r="T28" s="18">
        <v>0</v>
      </c>
      <c r="U28" s="96">
        <f>1.654</f>
        <v>1.654</v>
      </c>
      <c r="V28" s="18">
        <v>0</v>
      </c>
      <c r="W28" s="18">
        <v>0</v>
      </c>
      <c r="X28" s="278">
        <v>11.132</v>
      </c>
      <c r="Y28" s="107">
        <v>5.542</v>
      </c>
      <c r="Z28" s="18">
        <v>0</v>
      </c>
      <c r="AA28" s="110">
        <v>0.732</v>
      </c>
      <c r="AB28" s="18">
        <v>0</v>
      </c>
      <c r="AC28" s="186">
        <v>9.27844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91">
        <f t="shared" si="3"/>
        <v>65.50143999999999</v>
      </c>
      <c r="AK28" s="5">
        <f t="shared" si="4"/>
        <v>37800.768349975086</v>
      </c>
      <c r="AL28" s="5">
        <f t="shared" si="5"/>
        <v>25609.77350695896</v>
      </c>
      <c r="AM28" s="5">
        <f t="shared" si="6"/>
        <v>1667.8114632759205</v>
      </c>
    </row>
    <row r="29" spans="1:39" ht="15.75">
      <c r="A29" s="12">
        <v>25</v>
      </c>
      <c r="B29" s="13" t="s">
        <v>53</v>
      </c>
      <c r="C29" s="14">
        <v>1966</v>
      </c>
      <c r="D29" s="14">
        <v>5</v>
      </c>
      <c r="E29" s="14">
        <v>60</v>
      </c>
      <c r="F29" s="14">
        <v>2520.1</v>
      </c>
      <c r="G29" s="8">
        <v>0</v>
      </c>
      <c r="H29" s="14">
        <v>2520.2</v>
      </c>
      <c r="I29" s="14"/>
      <c r="J29" s="14">
        <v>1657.6</v>
      </c>
      <c r="K29" s="15">
        <v>3</v>
      </c>
      <c r="L29" s="10">
        <v>5.08</v>
      </c>
      <c r="M29" s="16">
        <f t="shared" si="0"/>
        <v>12802.616</v>
      </c>
      <c r="N29" s="16">
        <f t="shared" si="1"/>
        <v>153631.392</v>
      </c>
      <c r="O29" s="17">
        <f t="shared" si="2"/>
        <v>146487.53227199998</v>
      </c>
      <c r="P29" s="103">
        <f>24.107+11.848</f>
        <v>35.955</v>
      </c>
      <c r="Q29" s="18">
        <v>0</v>
      </c>
      <c r="R29" s="18">
        <v>0</v>
      </c>
      <c r="S29" s="18">
        <v>0</v>
      </c>
      <c r="T29" s="18">
        <v>0</v>
      </c>
      <c r="U29" s="96">
        <f>8.557+11.838+0.079</f>
        <v>20.474</v>
      </c>
      <c r="V29" s="104">
        <f>0.695+0.659+1.541</f>
        <v>2.895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91">
        <f t="shared" si="3"/>
        <v>59.324000000000005</v>
      </c>
      <c r="AK29" s="5">
        <f t="shared" si="4"/>
        <v>19137.697394132272</v>
      </c>
      <c r="AL29" s="5">
        <f t="shared" si="5"/>
        <v>12965.664908469229</v>
      </c>
      <c r="AM29" s="5">
        <f t="shared" si="6"/>
        <v>844.3762518033725</v>
      </c>
    </row>
    <row r="30" spans="1:39" ht="15.75">
      <c r="A30" s="12">
        <v>26</v>
      </c>
      <c r="B30" s="13" t="s">
        <v>54</v>
      </c>
      <c r="C30" s="14">
        <v>1961</v>
      </c>
      <c r="D30" s="14">
        <v>4</v>
      </c>
      <c r="E30" s="14">
        <v>32</v>
      </c>
      <c r="F30" s="14">
        <v>1275.5</v>
      </c>
      <c r="G30" s="8">
        <v>0</v>
      </c>
      <c r="H30" s="14">
        <v>1275.5</v>
      </c>
      <c r="I30" s="14"/>
      <c r="J30" s="14">
        <v>843</v>
      </c>
      <c r="K30" s="15">
        <v>2</v>
      </c>
      <c r="L30" s="10">
        <v>5.08</v>
      </c>
      <c r="M30" s="16">
        <f t="shared" si="0"/>
        <v>6479.54</v>
      </c>
      <c r="N30" s="16">
        <f t="shared" si="1"/>
        <v>77754.48</v>
      </c>
      <c r="O30" s="17">
        <f t="shared" si="2"/>
        <v>74138.89667999999</v>
      </c>
      <c r="P30" s="77">
        <v>0</v>
      </c>
      <c r="Q30" s="18">
        <v>0</v>
      </c>
      <c r="R30" s="18">
        <v>0</v>
      </c>
      <c r="S30" s="97">
        <v>0.697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07">
        <v>1.944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91">
        <f t="shared" si="3"/>
        <v>2.641</v>
      </c>
      <c r="AK30" s="5">
        <f t="shared" si="4"/>
        <v>9686.176352611292</v>
      </c>
      <c r="AL30" s="5">
        <f t="shared" si="5"/>
        <v>6562.321174061546</v>
      </c>
      <c r="AM30" s="5">
        <f t="shared" si="6"/>
        <v>427.3647510714661</v>
      </c>
    </row>
    <row r="31" spans="1:39" ht="15.75">
      <c r="A31" s="12">
        <v>27</v>
      </c>
      <c r="B31" s="13" t="s">
        <v>55</v>
      </c>
      <c r="C31" s="14">
        <v>1959</v>
      </c>
      <c r="D31" s="14">
        <v>3</v>
      </c>
      <c r="E31" s="14">
        <v>18</v>
      </c>
      <c r="F31" s="14">
        <v>1162.3</v>
      </c>
      <c r="G31" s="8">
        <v>0</v>
      </c>
      <c r="H31" s="14">
        <v>1162.3</v>
      </c>
      <c r="I31" s="14"/>
      <c r="J31" s="14">
        <v>788.5</v>
      </c>
      <c r="K31" s="15">
        <v>3</v>
      </c>
      <c r="L31" s="10">
        <v>5.08</v>
      </c>
      <c r="M31" s="16">
        <f t="shared" si="0"/>
        <v>5904.4839999999995</v>
      </c>
      <c r="N31" s="16">
        <f>M31*$N$1</f>
        <v>70853.80799999999</v>
      </c>
      <c r="O31" s="17">
        <f t="shared" si="2"/>
        <v>67559.10592799999</v>
      </c>
      <c r="P31" s="103">
        <v>31.969</v>
      </c>
      <c r="Q31" s="142">
        <v>2.806</v>
      </c>
      <c r="R31" s="18">
        <v>0</v>
      </c>
      <c r="S31" s="97">
        <v>1.045</v>
      </c>
      <c r="T31" s="18">
        <v>0</v>
      </c>
      <c r="U31" s="18">
        <v>0</v>
      </c>
      <c r="V31" s="104">
        <v>17.891</v>
      </c>
      <c r="W31" s="18">
        <v>0</v>
      </c>
      <c r="X31" s="18">
        <v>0</v>
      </c>
      <c r="Y31" s="107">
        <v>1.218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91">
        <f t="shared" si="3"/>
        <v>54.929</v>
      </c>
      <c r="AK31" s="5">
        <f t="shared" si="4"/>
        <v>8826.532947581421</v>
      </c>
      <c r="AL31" s="5">
        <f t="shared" si="5"/>
        <v>5979.918385426683</v>
      </c>
      <c r="AM31" s="5">
        <f t="shared" si="6"/>
        <v>389.4363388242768</v>
      </c>
    </row>
    <row r="32" spans="1:39" ht="15.75">
      <c r="A32" s="12">
        <v>28</v>
      </c>
      <c r="B32" s="13" t="s">
        <v>56</v>
      </c>
      <c r="C32" s="14">
        <v>1960</v>
      </c>
      <c r="D32" s="14">
        <v>3</v>
      </c>
      <c r="E32" s="14">
        <v>24</v>
      </c>
      <c r="F32" s="14">
        <v>939.8</v>
      </c>
      <c r="G32" s="8">
        <v>0</v>
      </c>
      <c r="H32" s="14">
        <v>939.8</v>
      </c>
      <c r="I32" s="14"/>
      <c r="J32" s="14">
        <v>622.5</v>
      </c>
      <c r="K32" s="15">
        <v>2</v>
      </c>
      <c r="L32" s="10">
        <v>5.08</v>
      </c>
      <c r="M32" s="16">
        <f t="shared" si="0"/>
        <v>4774.184</v>
      </c>
      <c r="N32" s="16">
        <f t="shared" si="1"/>
        <v>57290.208</v>
      </c>
      <c r="O32" s="17">
        <f t="shared" si="2"/>
        <v>54626.213328</v>
      </c>
      <c r="P32" s="77">
        <v>0</v>
      </c>
      <c r="Q32" s="18">
        <v>0</v>
      </c>
      <c r="R32" s="18">
        <v>0</v>
      </c>
      <c r="S32" s="97">
        <v>1.741</v>
      </c>
      <c r="T32" s="18">
        <v>0</v>
      </c>
      <c r="U32" s="96">
        <v>0.226</v>
      </c>
      <c r="V32" s="104">
        <v>4.314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7">
        <v>0.975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91">
        <f t="shared" si="3"/>
        <v>7.256</v>
      </c>
      <c r="AK32" s="5">
        <f t="shared" si="4"/>
        <v>7136.862827270946</v>
      </c>
      <c r="AL32" s="5">
        <f t="shared" si="5"/>
        <v>4835.177921899679</v>
      </c>
      <c r="AM32" s="5">
        <f t="shared" si="6"/>
        <v>314.8862352465416</v>
      </c>
    </row>
    <row r="33" spans="1:39" ht="15.75">
      <c r="A33" s="12">
        <v>29</v>
      </c>
      <c r="B33" s="13" t="s">
        <v>57</v>
      </c>
      <c r="C33" s="14">
        <v>1969</v>
      </c>
      <c r="D33" s="14">
        <v>5</v>
      </c>
      <c r="E33" s="14">
        <v>80</v>
      </c>
      <c r="F33" s="14">
        <v>3546.1</v>
      </c>
      <c r="G33" s="8">
        <v>0</v>
      </c>
      <c r="H33" s="14">
        <v>3546.1</v>
      </c>
      <c r="I33" s="14"/>
      <c r="J33" s="14">
        <v>2366.5</v>
      </c>
      <c r="K33" s="15">
        <v>4</v>
      </c>
      <c r="L33" s="10">
        <v>5.08</v>
      </c>
      <c r="M33" s="16">
        <f t="shared" si="0"/>
        <v>18014.188</v>
      </c>
      <c r="N33" s="16">
        <f t="shared" si="1"/>
        <v>216170.256</v>
      </c>
      <c r="O33" s="17">
        <f t="shared" si="2"/>
        <v>206118.339096</v>
      </c>
      <c r="P33" s="103">
        <f>6.073+0.842</f>
        <v>6.915</v>
      </c>
      <c r="Q33" s="18">
        <v>0</v>
      </c>
      <c r="R33" s="184">
        <v>11.824</v>
      </c>
      <c r="S33" s="97">
        <v>1.045</v>
      </c>
      <c r="T33" s="18">
        <v>0</v>
      </c>
      <c r="U33" s="96">
        <f>38.324+17.755+2.191+15.732</f>
        <v>74.002</v>
      </c>
      <c r="V33" s="18">
        <v>0</v>
      </c>
      <c r="W33" s="18">
        <v>0</v>
      </c>
      <c r="X33" s="18">
        <v>0</v>
      </c>
      <c r="Y33" s="107">
        <v>5.839</v>
      </c>
      <c r="Z33" s="18">
        <v>0</v>
      </c>
      <c r="AA33" s="110">
        <v>9.862</v>
      </c>
      <c r="AB33" s="185">
        <v>10.263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91">
        <f t="shared" si="3"/>
        <v>119.75</v>
      </c>
      <c r="AK33" s="5">
        <f t="shared" si="4"/>
        <v>26929.16500509204</v>
      </c>
      <c r="AL33" s="5">
        <f t="shared" si="5"/>
        <v>18244.33329309263</v>
      </c>
      <c r="AM33" s="5">
        <f t="shared" si="6"/>
        <v>1188.1443698741873</v>
      </c>
    </row>
    <row r="34" spans="1:39" ht="15.75">
      <c r="A34" s="12">
        <v>30</v>
      </c>
      <c r="B34" s="13" t="s">
        <v>58</v>
      </c>
      <c r="C34" s="8">
        <v>1981</v>
      </c>
      <c r="D34" s="8">
        <v>5</v>
      </c>
      <c r="E34" s="8">
        <v>60</v>
      </c>
      <c r="F34" s="8">
        <v>2794.4</v>
      </c>
      <c r="G34" s="8">
        <v>0</v>
      </c>
      <c r="H34" s="8">
        <v>2794.4</v>
      </c>
      <c r="I34" s="8"/>
      <c r="J34" s="14">
        <v>1695.5</v>
      </c>
      <c r="K34" s="15">
        <v>4</v>
      </c>
      <c r="L34" s="10">
        <v>5.08</v>
      </c>
      <c r="M34" s="16">
        <f t="shared" si="0"/>
        <v>14195.552000000001</v>
      </c>
      <c r="N34" s="16">
        <f t="shared" si="1"/>
        <v>170346.624</v>
      </c>
      <c r="O34" s="17">
        <f t="shared" si="2"/>
        <v>162425.50598400002</v>
      </c>
      <c r="P34" s="77">
        <v>0</v>
      </c>
      <c r="Q34" s="18">
        <v>0</v>
      </c>
      <c r="R34" s="18">
        <v>0</v>
      </c>
      <c r="S34" s="97">
        <v>0.697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07">
        <v>3.232</v>
      </c>
      <c r="Z34" s="101">
        <v>0</v>
      </c>
      <c r="AA34" s="110">
        <v>2.348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91">
        <f t="shared" si="3"/>
        <v>6.277</v>
      </c>
      <c r="AK34" s="5">
        <f t="shared" si="4"/>
        <v>21220.737906497056</v>
      </c>
      <c r="AL34" s="5">
        <f t="shared" si="5"/>
        <v>14376.911241707241</v>
      </c>
      <c r="AM34" s="5">
        <f t="shared" si="6"/>
        <v>936.2822896072953</v>
      </c>
    </row>
    <row r="35" spans="1:39" ht="15.75">
      <c r="A35" s="12">
        <v>31</v>
      </c>
      <c r="B35" s="13" t="s">
        <v>59</v>
      </c>
      <c r="C35" s="8">
        <v>1979</v>
      </c>
      <c r="D35" s="8" t="s">
        <v>60</v>
      </c>
      <c r="E35" s="8">
        <v>88</v>
      </c>
      <c r="F35" s="8">
        <v>4357.9</v>
      </c>
      <c r="G35" s="8">
        <v>0</v>
      </c>
      <c r="H35" s="8">
        <v>4357.9</v>
      </c>
      <c r="I35" s="8"/>
      <c r="J35" s="14">
        <v>2652</v>
      </c>
      <c r="K35" s="15">
        <v>5</v>
      </c>
      <c r="L35" s="10">
        <v>5.08</v>
      </c>
      <c r="M35" s="16">
        <f t="shared" si="0"/>
        <v>22138.131999999998</v>
      </c>
      <c r="N35" s="16">
        <f t="shared" si="1"/>
        <v>265657.584</v>
      </c>
      <c r="O35" s="17">
        <f t="shared" si="2"/>
        <v>253304.50634399996</v>
      </c>
      <c r="P35" s="77">
        <v>0</v>
      </c>
      <c r="Q35" s="18">
        <v>0</v>
      </c>
      <c r="R35" s="18">
        <v>0</v>
      </c>
      <c r="S35" s="97">
        <f>2.09+1.641</f>
        <v>3.731</v>
      </c>
      <c r="T35" s="18">
        <v>0</v>
      </c>
      <c r="U35" s="96">
        <f>0.212</f>
        <v>0.212</v>
      </c>
      <c r="V35" s="18">
        <v>0</v>
      </c>
      <c r="W35" s="18">
        <v>0</v>
      </c>
      <c r="X35" s="278">
        <v>26.24</v>
      </c>
      <c r="Y35" s="107">
        <v>10.336</v>
      </c>
      <c r="Z35" s="106">
        <v>11.524</v>
      </c>
      <c r="AA35" s="110">
        <v>10.154</v>
      </c>
      <c r="AB35" s="18">
        <v>0</v>
      </c>
      <c r="AC35" s="187">
        <v>2.08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91">
        <f t="shared" si="3"/>
        <v>64.277</v>
      </c>
      <c r="AK35" s="5">
        <f t="shared" si="4"/>
        <v>33093.99288674617</v>
      </c>
      <c r="AL35" s="5">
        <f t="shared" si="5"/>
        <v>22420.9638921543</v>
      </c>
      <c r="AM35" s="5">
        <f t="shared" si="6"/>
        <v>1460.1433545232005</v>
      </c>
    </row>
    <row r="36" spans="1:39" ht="15.75">
      <c r="A36" s="12">
        <v>32</v>
      </c>
      <c r="B36" s="13" t="s">
        <v>61</v>
      </c>
      <c r="C36" s="8">
        <v>1978</v>
      </c>
      <c r="D36" s="8">
        <v>5</v>
      </c>
      <c r="E36" s="8">
        <v>58</v>
      </c>
      <c r="F36" s="8">
        <v>2764.2</v>
      </c>
      <c r="G36" s="8">
        <v>112.2</v>
      </c>
      <c r="H36" s="8">
        <v>2652</v>
      </c>
      <c r="I36" s="8"/>
      <c r="J36" s="14">
        <v>1602.6</v>
      </c>
      <c r="K36" s="15">
        <v>4</v>
      </c>
      <c r="L36" s="10">
        <v>5.08</v>
      </c>
      <c r="M36" s="16">
        <f t="shared" si="0"/>
        <v>13472.16</v>
      </c>
      <c r="N36" s="16">
        <f>M36*$N$1</f>
        <v>161665.91999999998</v>
      </c>
      <c r="O36" s="17">
        <f t="shared" si="2"/>
        <v>154148.45471999998</v>
      </c>
      <c r="P36" s="77">
        <v>0</v>
      </c>
      <c r="Q36" s="18">
        <v>0</v>
      </c>
      <c r="R36" s="18">
        <v>0</v>
      </c>
      <c r="S36" s="97">
        <v>0.348</v>
      </c>
      <c r="T36" s="18">
        <v>0</v>
      </c>
      <c r="U36" s="18">
        <v>0</v>
      </c>
      <c r="V36" s="18">
        <v>0</v>
      </c>
      <c r="W36" s="18">
        <v>0</v>
      </c>
      <c r="X36" s="278">
        <v>17.493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91">
        <f t="shared" si="3"/>
        <v>17.840999999999998</v>
      </c>
      <c r="AK36" s="5">
        <f t="shared" si="4"/>
        <v>20991.398411515584</v>
      </c>
      <c r="AL36" s="5">
        <f t="shared" si="5"/>
        <v>14221.535232725146</v>
      </c>
      <c r="AM36" s="5">
        <f t="shared" si="6"/>
        <v>926.1635789194407</v>
      </c>
    </row>
    <row r="37" spans="1:39" ht="15.75">
      <c r="A37" s="12">
        <v>33</v>
      </c>
      <c r="B37" s="13" t="s">
        <v>62</v>
      </c>
      <c r="C37" s="14">
        <v>1953</v>
      </c>
      <c r="D37" s="14">
        <v>2</v>
      </c>
      <c r="E37" s="14">
        <v>12</v>
      </c>
      <c r="F37" s="14">
        <v>618.1</v>
      </c>
      <c r="G37" s="8">
        <v>0</v>
      </c>
      <c r="H37" s="14">
        <v>618.1</v>
      </c>
      <c r="I37" s="14"/>
      <c r="J37" s="14">
        <v>395.7</v>
      </c>
      <c r="K37" s="15">
        <v>2</v>
      </c>
      <c r="L37" s="10">
        <v>5.08</v>
      </c>
      <c r="M37" s="16">
        <f t="shared" si="0"/>
        <v>3139.9480000000003</v>
      </c>
      <c r="N37" s="16">
        <f t="shared" si="1"/>
        <v>37679.376000000004</v>
      </c>
      <c r="O37" s="17">
        <f t="shared" si="2"/>
        <v>35927.285016</v>
      </c>
      <c r="P37" s="77">
        <v>0</v>
      </c>
      <c r="Q37" s="18">
        <v>0</v>
      </c>
      <c r="R37" s="18">
        <v>0</v>
      </c>
      <c r="S37" s="18">
        <v>0</v>
      </c>
      <c r="T37" s="99">
        <v>57.36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91">
        <f t="shared" si="3"/>
        <v>57.36</v>
      </c>
      <c r="AK37" s="5">
        <f t="shared" si="4"/>
        <v>4693.8656241074395</v>
      </c>
      <c r="AL37" s="5">
        <f t="shared" si="5"/>
        <v>3180.06328317322</v>
      </c>
      <c r="AM37" s="5">
        <f t="shared" si="6"/>
        <v>207.09851245572187</v>
      </c>
    </row>
    <row r="38" spans="1:36" s="55" customFormat="1" ht="15.75">
      <c r="A38" s="45">
        <v>34</v>
      </c>
      <c r="B38" s="46" t="s">
        <v>63</v>
      </c>
      <c r="C38" s="47" t="s">
        <v>30</v>
      </c>
      <c r="D38" s="47">
        <v>2</v>
      </c>
      <c r="E38" s="47">
        <v>9</v>
      </c>
      <c r="F38" s="47">
        <v>1023.3</v>
      </c>
      <c r="G38" s="48">
        <v>0</v>
      </c>
      <c r="H38" s="47">
        <f>1023.3-I38</f>
        <v>355.17999999999995</v>
      </c>
      <c r="I38" s="47">
        <f>58.29+609.83</f>
        <v>668.12</v>
      </c>
      <c r="J38" s="47">
        <v>661.9</v>
      </c>
      <c r="K38" s="49">
        <v>2</v>
      </c>
      <c r="L38" s="50">
        <v>5.08</v>
      </c>
      <c r="M38" s="51">
        <f t="shared" si="0"/>
        <v>1804.3143999999998</v>
      </c>
      <c r="N38" s="51">
        <f t="shared" si="1"/>
        <v>21651.7728</v>
      </c>
      <c r="O38" s="52">
        <f t="shared" si="2"/>
        <v>20644.9653648</v>
      </c>
      <c r="P38" s="79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4">
        <f t="shared" si="3"/>
        <v>0</v>
      </c>
    </row>
    <row r="39" spans="1:36" s="55" customFormat="1" ht="15.75">
      <c r="A39" s="45">
        <v>35</v>
      </c>
      <c r="B39" s="46" t="s">
        <v>64</v>
      </c>
      <c r="C39" s="47" t="s">
        <v>30</v>
      </c>
      <c r="D39" s="47">
        <v>2</v>
      </c>
      <c r="E39" s="47">
        <v>6</v>
      </c>
      <c r="F39" s="47">
        <v>610.3</v>
      </c>
      <c r="G39" s="48">
        <v>0</v>
      </c>
      <c r="H39" s="47">
        <f>610.3-I39</f>
        <v>151.04999999999995</v>
      </c>
      <c r="I39" s="47">
        <f>431.35+27.9</f>
        <v>459.25</v>
      </c>
      <c r="J39" s="47">
        <v>440</v>
      </c>
      <c r="K39" s="49">
        <v>2</v>
      </c>
      <c r="L39" s="50">
        <v>5.08</v>
      </c>
      <c r="M39" s="51">
        <f t="shared" si="0"/>
        <v>767.3339999999998</v>
      </c>
      <c r="N39" s="51">
        <f t="shared" si="1"/>
        <v>9208.007999999998</v>
      </c>
      <c r="O39" s="52">
        <f t="shared" si="2"/>
        <v>8779.835627999999</v>
      </c>
      <c r="P39" s="79">
        <v>0</v>
      </c>
      <c r="Q39" s="53">
        <v>0</v>
      </c>
      <c r="R39" s="53">
        <v>0</v>
      </c>
      <c r="S39" s="97">
        <v>2.311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4">
        <f t="shared" si="3"/>
        <v>2.311</v>
      </c>
    </row>
    <row r="40" spans="1:36" s="55" customFormat="1" ht="15.75">
      <c r="A40" s="45">
        <v>36</v>
      </c>
      <c r="B40" s="46" t="s">
        <v>65</v>
      </c>
      <c r="C40" s="47" t="s">
        <v>66</v>
      </c>
      <c r="D40" s="47">
        <v>2</v>
      </c>
      <c r="E40" s="47">
        <v>8</v>
      </c>
      <c r="F40" s="47">
        <v>1025.2</v>
      </c>
      <c r="G40" s="48">
        <v>0</v>
      </c>
      <c r="H40" s="47">
        <f>1025.2-I40</f>
        <v>115.91000000000008</v>
      </c>
      <c r="I40" s="47">
        <f>431.92+477.37</f>
        <v>909.29</v>
      </c>
      <c r="J40" s="47">
        <v>683.2</v>
      </c>
      <c r="K40" s="49">
        <v>2</v>
      </c>
      <c r="L40" s="50">
        <v>5.08</v>
      </c>
      <c r="M40" s="51">
        <f t="shared" si="0"/>
        <v>588.8228000000004</v>
      </c>
      <c r="N40" s="51">
        <f t="shared" si="1"/>
        <v>7065.873600000004</v>
      </c>
      <c r="O40" s="52">
        <f t="shared" si="2"/>
        <v>6737.310477600005</v>
      </c>
      <c r="P40" s="79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104">
        <v>16.022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4">
        <f t="shared" si="3"/>
        <v>16.022</v>
      </c>
    </row>
    <row r="41" spans="1:36" s="55" customFormat="1" ht="15.75">
      <c r="A41" s="45">
        <v>37</v>
      </c>
      <c r="B41" s="46" t="s">
        <v>67</v>
      </c>
      <c r="C41" s="47" t="s">
        <v>68</v>
      </c>
      <c r="D41" s="47">
        <v>2</v>
      </c>
      <c r="E41" s="47">
        <v>8</v>
      </c>
      <c r="F41" s="47">
        <v>1032.3</v>
      </c>
      <c r="G41" s="48">
        <v>0</v>
      </c>
      <c r="H41" s="47">
        <f>F41-I41</f>
        <v>253.02999999999997</v>
      </c>
      <c r="I41" s="47">
        <f>226.14+553.13</f>
        <v>779.27</v>
      </c>
      <c r="J41" s="47">
        <v>677</v>
      </c>
      <c r="K41" s="49">
        <v>2</v>
      </c>
      <c r="L41" s="50">
        <v>5.08</v>
      </c>
      <c r="M41" s="51">
        <f t="shared" si="0"/>
        <v>1285.3924</v>
      </c>
      <c r="N41" s="51">
        <f t="shared" si="1"/>
        <v>15424.7088</v>
      </c>
      <c r="O41" s="52">
        <f t="shared" si="2"/>
        <v>14707.4598408</v>
      </c>
      <c r="P41" s="79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104">
        <v>16.022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4">
        <f t="shared" si="3"/>
        <v>16.022</v>
      </c>
    </row>
    <row r="42" spans="1:39" ht="15.75">
      <c r="A42" s="12">
        <v>38</v>
      </c>
      <c r="B42" s="13" t="s">
        <v>69</v>
      </c>
      <c r="C42" s="14">
        <v>1961</v>
      </c>
      <c r="D42" s="14">
        <v>2</v>
      </c>
      <c r="E42" s="14">
        <v>24</v>
      </c>
      <c r="F42" s="14">
        <v>832.3</v>
      </c>
      <c r="G42" s="8">
        <v>0</v>
      </c>
      <c r="H42" s="14">
        <v>832.3</v>
      </c>
      <c r="I42" s="14"/>
      <c r="J42" s="14">
        <v>555.1</v>
      </c>
      <c r="K42" s="15">
        <v>3</v>
      </c>
      <c r="L42" s="10">
        <v>5.08</v>
      </c>
      <c r="M42" s="16">
        <f t="shared" si="0"/>
        <v>4228.084</v>
      </c>
      <c r="N42" s="16">
        <f t="shared" si="1"/>
        <v>50737.008</v>
      </c>
      <c r="O42" s="17">
        <f t="shared" si="2"/>
        <v>48377.737128</v>
      </c>
      <c r="P42" s="77">
        <v>0</v>
      </c>
      <c r="Q42" s="142">
        <v>2.806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91">
        <f t="shared" si="3"/>
        <v>2.806</v>
      </c>
      <c r="AK42" s="5">
        <f aca="true" t="shared" si="7" ref="AK42:AK53">4963963*F42/653667.1</f>
        <v>6320.505353413075</v>
      </c>
      <c r="AL42" s="5">
        <f aca="true" t="shared" si="8" ref="AL42:AL53">3362538*F42/653567.1</f>
        <v>4282.101068734946</v>
      </c>
      <c r="AM42" s="5">
        <f aca="true" t="shared" si="9" ref="AM42:AM53">218982*F42/653567.1</f>
        <v>278.8676458775235</v>
      </c>
    </row>
    <row r="43" spans="1:39" ht="15.75">
      <c r="A43" s="12">
        <v>39</v>
      </c>
      <c r="B43" s="13" t="s">
        <v>70</v>
      </c>
      <c r="C43" s="14" t="s">
        <v>71</v>
      </c>
      <c r="D43" s="14">
        <v>2</v>
      </c>
      <c r="E43" s="14">
        <v>12</v>
      </c>
      <c r="F43" s="14">
        <v>618.4</v>
      </c>
      <c r="G43" s="8">
        <v>0</v>
      </c>
      <c r="H43" s="14">
        <v>618.4</v>
      </c>
      <c r="I43" s="14"/>
      <c r="J43" s="14">
        <v>389.6</v>
      </c>
      <c r="K43" s="15">
        <v>2</v>
      </c>
      <c r="L43" s="10">
        <v>5.08</v>
      </c>
      <c r="M43" s="16">
        <f t="shared" si="0"/>
        <v>3141.4719999999998</v>
      </c>
      <c r="N43" s="16">
        <f t="shared" si="1"/>
        <v>37697.664</v>
      </c>
      <c r="O43" s="17">
        <f t="shared" si="2"/>
        <v>35944.722623999995</v>
      </c>
      <c r="P43" s="103">
        <f>5.625+3.3+50.681</f>
        <v>59.605999999999995</v>
      </c>
      <c r="Q43" s="142">
        <v>37.861</v>
      </c>
      <c r="R43" s="18">
        <v>0</v>
      </c>
      <c r="S43" s="18">
        <v>0</v>
      </c>
      <c r="T43" s="100">
        <v>0.803</v>
      </c>
      <c r="U43" s="18">
        <v>0</v>
      </c>
      <c r="V43" s="104">
        <v>0.695</v>
      </c>
      <c r="W43" s="18">
        <v>0</v>
      </c>
      <c r="X43" s="18">
        <v>0</v>
      </c>
      <c r="Y43" s="107">
        <v>3.232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91">
        <f t="shared" si="3"/>
        <v>102.19699999999997</v>
      </c>
      <c r="AK43" s="5">
        <f t="shared" si="7"/>
        <v>4696.143831011229</v>
      </c>
      <c r="AL43" s="5">
        <f t="shared" si="8"/>
        <v>3181.606753461121</v>
      </c>
      <c r="AM43" s="5">
        <f t="shared" si="9"/>
        <v>207.19902944930976</v>
      </c>
    </row>
    <row r="44" spans="1:39" ht="15.75">
      <c r="A44" s="12">
        <v>40</v>
      </c>
      <c r="B44" s="13" t="s">
        <v>72</v>
      </c>
      <c r="C44" s="14">
        <v>1958</v>
      </c>
      <c r="D44" s="14">
        <v>2</v>
      </c>
      <c r="E44" s="14">
        <v>12</v>
      </c>
      <c r="F44" s="14">
        <v>849.4</v>
      </c>
      <c r="G44" s="8">
        <v>0</v>
      </c>
      <c r="H44" s="14">
        <v>849.4</v>
      </c>
      <c r="I44" s="14"/>
      <c r="J44" s="14">
        <v>558.1</v>
      </c>
      <c r="K44" s="15">
        <v>2</v>
      </c>
      <c r="L44" s="10">
        <v>5.08</v>
      </c>
      <c r="M44" s="16">
        <f t="shared" si="0"/>
        <v>4314.952</v>
      </c>
      <c r="N44" s="16">
        <f>M44*$N$1</f>
        <v>51779.424</v>
      </c>
      <c r="O44" s="17">
        <f t="shared" si="2"/>
        <v>49371.680784</v>
      </c>
      <c r="P44" s="103">
        <v>16.71</v>
      </c>
      <c r="Q44" s="142">
        <v>2.806</v>
      </c>
      <c r="R44" s="18">
        <v>0</v>
      </c>
      <c r="S44" s="97">
        <v>0.174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10">
        <v>2.098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91">
        <f t="shared" si="3"/>
        <v>21.788</v>
      </c>
      <c r="AK44" s="5">
        <f t="shared" si="7"/>
        <v>6450.363146929071</v>
      </c>
      <c r="AL44" s="5">
        <f t="shared" si="8"/>
        <v>4370.0788751453365</v>
      </c>
      <c r="AM44" s="5">
        <f t="shared" si="9"/>
        <v>284.5971145120371</v>
      </c>
    </row>
    <row r="45" spans="1:39" ht="15.75">
      <c r="A45" s="12">
        <v>41</v>
      </c>
      <c r="B45" s="13" t="s">
        <v>73</v>
      </c>
      <c r="C45" s="14">
        <v>1962</v>
      </c>
      <c r="D45" s="14">
        <v>3</v>
      </c>
      <c r="E45" s="14">
        <v>24</v>
      </c>
      <c r="F45" s="14">
        <v>952.6</v>
      </c>
      <c r="G45" s="8">
        <v>0</v>
      </c>
      <c r="H45" s="14">
        <v>952.6</v>
      </c>
      <c r="I45" s="14"/>
      <c r="J45" s="14">
        <v>613.5</v>
      </c>
      <c r="K45" s="15">
        <v>2</v>
      </c>
      <c r="L45" s="10">
        <v>5.08</v>
      </c>
      <c r="M45" s="16">
        <f t="shared" si="0"/>
        <v>4839.2080000000005</v>
      </c>
      <c r="N45" s="16">
        <f t="shared" si="1"/>
        <v>58070.49600000001</v>
      </c>
      <c r="O45" s="17">
        <f t="shared" si="2"/>
        <v>55370.21793600001</v>
      </c>
      <c r="P45" s="77">
        <v>0</v>
      </c>
      <c r="Q45" s="18">
        <v>0</v>
      </c>
      <c r="R45" s="18">
        <v>0</v>
      </c>
      <c r="S45" s="97">
        <v>1.325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91">
        <f t="shared" si="3"/>
        <v>1.325</v>
      </c>
      <c r="AK45" s="5">
        <f t="shared" si="7"/>
        <v>7234.066321832627</v>
      </c>
      <c r="AL45" s="5">
        <f t="shared" si="8"/>
        <v>4901.03265418348</v>
      </c>
      <c r="AM45" s="5">
        <f t="shared" si="9"/>
        <v>319.1749603062945</v>
      </c>
    </row>
    <row r="46" spans="1:39" ht="15.75">
      <c r="A46" s="12">
        <v>42</v>
      </c>
      <c r="B46" s="13" t="s">
        <v>74</v>
      </c>
      <c r="C46" s="14">
        <v>1959</v>
      </c>
      <c r="D46" s="14">
        <v>2</v>
      </c>
      <c r="E46" s="14">
        <v>12</v>
      </c>
      <c r="F46" s="14">
        <v>597.2</v>
      </c>
      <c r="G46" s="8">
        <v>0</v>
      </c>
      <c r="H46" s="14">
        <v>597.2</v>
      </c>
      <c r="I46" s="14"/>
      <c r="J46" s="14">
        <v>376.9</v>
      </c>
      <c r="K46" s="15">
        <v>2</v>
      </c>
      <c r="L46" s="10">
        <v>5.08</v>
      </c>
      <c r="M46" s="16">
        <f t="shared" si="0"/>
        <v>3033.7760000000003</v>
      </c>
      <c r="N46" s="16">
        <f t="shared" si="1"/>
        <v>36405.312000000005</v>
      </c>
      <c r="O46" s="17">
        <f t="shared" si="2"/>
        <v>34712.46499200001</v>
      </c>
      <c r="P46" s="103">
        <v>22.283</v>
      </c>
      <c r="Q46" s="142">
        <v>0.628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91">
        <f t="shared" si="3"/>
        <v>22.911</v>
      </c>
      <c r="AK46" s="5">
        <f t="shared" si="7"/>
        <v>4535.150543143445</v>
      </c>
      <c r="AL46" s="5">
        <f t="shared" si="8"/>
        <v>3072.5348531160766</v>
      </c>
      <c r="AM46" s="5">
        <f t="shared" si="9"/>
        <v>200.09582856909415</v>
      </c>
    </row>
    <row r="47" spans="1:39" ht="15.75">
      <c r="A47" s="12">
        <v>43</v>
      </c>
      <c r="B47" s="13" t="s">
        <v>75</v>
      </c>
      <c r="C47" s="14" t="s">
        <v>76</v>
      </c>
      <c r="D47" s="14">
        <v>3</v>
      </c>
      <c r="E47" s="14">
        <v>17</v>
      </c>
      <c r="F47" s="14">
        <v>769</v>
      </c>
      <c r="G47" s="8">
        <v>49.7</v>
      </c>
      <c r="H47" s="14">
        <v>713.7</v>
      </c>
      <c r="I47" s="14"/>
      <c r="J47" s="14">
        <v>473.2</v>
      </c>
      <c r="K47" s="15">
        <v>2</v>
      </c>
      <c r="L47" s="10">
        <v>5.08</v>
      </c>
      <c r="M47" s="16">
        <f t="shared" si="0"/>
        <v>3625.5960000000005</v>
      </c>
      <c r="N47" s="16">
        <f t="shared" si="1"/>
        <v>43507.152</v>
      </c>
      <c r="O47" s="17">
        <f t="shared" si="2"/>
        <v>41484.069432000004</v>
      </c>
      <c r="P47" s="77">
        <v>0</v>
      </c>
      <c r="Q47" s="142">
        <v>0.628</v>
      </c>
      <c r="R47" s="18">
        <v>0</v>
      </c>
      <c r="S47" s="97">
        <v>0.883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91">
        <f t="shared" si="3"/>
        <v>1.5110000000000001</v>
      </c>
      <c r="AK47" s="5">
        <f t="shared" si="7"/>
        <v>5839.80369671351</v>
      </c>
      <c r="AL47" s="5">
        <f t="shared" si="8"/>
        <v>3956.428837987714</v>
      </c>
      <c r="AM47" s="5">
        <f t="shared" si="9"/>
        <v>257.6585602304645</v>
      </c>
    </row>
    <row r="48" spans="1:39" ht="15.75">
      <c r="A48" s="12">
        <v>44</v>
      </c>
      <c r="B48" s="13" t="s">
        <v>77</v>
      </c>
      <c r="C48" s="14">
        <v>1971</v>
      </c>
      <c r="D48" s="14">
        <v>5</v>
      </c>
      <c r="E48" s="14">
        <v>68</v>
      </c>
      <c r="F48" s="14">
        <v>3688.9</v>
      </c>
      <c r="G48" s="8">
        <v>575.1</v>
      </c>
      <c r="H48" s="14">
        <v>3113.8</v>
      </c>
      <c r="I48" s="14"/>
      <c r="J48" s="14">
        <v>1894.7</v>
      </c>
      <c r="K48" s="15">
        <v>4</v>
      </c>
      <c r="L48" s="10">
        <v>5.08</v>
      </c>
      <c r="M48" s="16">
        <f t="shared" si="0"/>
        <v>15818.104000000001</v>
      </c>
      <c r="N48" s="16">
        <f t="shared" si="1"/>
        <v>189817.24800000002</v>
      </c>
      <c r="O48" s="17">
        <f t="shared" si="2"/>
        <v>180990.74596800003</v>
      </c>
      <c r="P48" s="103">
        <f>30.302+30.524</f>
        <v>60.826</v>
      </c>
      <c r="Q48" s="18">
        <v>0</v>
      </c>
      <c r="R48" s="18">
        <v>0</v>
      </c>
      <c r="S48" s="97">
        <v>1.741</v>
      </c>
      <c r="T48" s="100">
        <v>10.893</v>
      </c>
      <c r="U48" s="18">
        <v>0</v>
      </c>
      <c r="V48" s="104">
        <f>0.815+0.863</f>
        <v>1.678</v>
      </c>
      <c r="W48" s="18">
        <v>0</v>
      </c>
      <c r="X48" s="18">
        <v>0</v>
      </c>
      <c r="Y48" s="107">
        <v>3.232</v>
      </c>
      <c r="Z48" s="18">
        <v>0</v>
      </c>
      <c r="AA48" s="18">
        <v>0</v>
      </c>
      <c r="AB48" s="185">
        <v>2.52</v>
      </c>
      <c r="AC48" s="187">
        <f>1.095+0.589</f>
        <v>1.684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91">
        <f t="shared" si="3"/>
        <v>82.574</v>
      </c>
      <c r="AK48" s="5">
        <f t="shared" si="7"/>
        <v>28013.5914912958</v>
      </c>
      <c r="AL48" s="5">
        <f t="shared" si="8"/>
        <v>18979.025150133784</v>
      </c>
      <c r="AM48" s="5">
        <f t="shared" si="9"/>
        <v>1235.9904588220554</v>
      </c>
    </row>
    <row r="49" spans="1:39" ht="15.75">
      <c r="A49" s="12">
        <v>45</v>
      </c>
      <c r="B49" s="13" t="s">
        <v>78</v>
      </c>
      <c r="C49" s="14" t="s">
        <v>76</v>
      </c>
      <c r="D49" s="14">
        <v>3</v>
      </c>
      <c r="E49" s="14">
        <v>17</v>
      </c>
      <c r="F49" s="14">
        <v>777.3</v>
      </c>
      <c r="G49" s="8">
        <v>55.2</v>
      </c>
      <c r="H49" s="14">
        <v>722.1</v>
      </c>
      <c r="I49" s="14"/>
      <c r="J49" s="14">
        <v>479.9</v>
      </c>
      <c r="K49" s="22">
        <v>2</v>
      </c>
      <c r="L49" s="10">
        <v>5.08</v>
      </c>
      <c r="M49" s="16">
        <f t="shared" si="0"/>
        <v>3668.268</v>
      </c>
      <c r="N49" s="16">
        <f>M49*$N$1</f>
        <v>44019.216</v>
      </c>
      <c r="O49" s="17">
        <f t="shared" si="2"/>
        <v>41972.322456</v>
      </c>
      <c r="P49" s="77">
        <v>0</v>
      </c>
      <c r="Q49" s="18">
        <v>0</v>
      </c>
      <c r="R49" s="18">
        <v>0</v>
      </c>
      <c r="S49" s="18">
        <v>0</v>
      </c>
      <c r="T49" s="99">
        <v>62.2</v>
      </c>
      <c r="U49" s="18">
        <v>0</v>
      </c>
      <c r="V49" s="18">
        <v>0</v>
      </c>
      <c r="W49" s="18">
        <v>0</v>
      </c>
      <c r="X49" s="18">
        <v>0</v>
      </c>
      <c r="Y49" s="107">
        <v>5.542</v>
      </c>
      <c r="Z49" s="18">
        <v>0</v>
      </c>
      <c r="AA49" s="18">
        <v>0</v>
      </c>
      <c r="AB49" s="18">
        <v>0</v>
      </c>
      <c r="AC49" s="187">
        <v>0.996196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91">
        <f t="shared" si="3"/>
        <v>68.738196</v>
      </c>
      <c r="AK49" s="5">
        <f t="shared" si="7"/>
        <v>5902.83408771835</v>
      </c>
      <c r="AL49" s="5">
        <f t="shared" si="8"/>
        <v>3999.1315159529904</v>
      </c>
      <c r="AM49" s="5">
        <f t="shared" si="9"/>
        <v>260.43953038639796</v>
      </c>
    </row>
    <row r="50" spans="1:39" ht="15.75">
      <c r="A50" s="12">
        <v>46</v>
      </c>
      <c r="B50" s="13" t="s">
        <v>79</v>
      </c>
      <c r="C50" s="14">
        <v>1962</v>
      </c>
      <c r="D50" s="14">
        <v>4</v>
      </c>
      <c r="E50" s="14">
        <v>32</v>
      </c>
      <c r="F50" s="14">
        <v>1254.7</v>
      </c>
      <c r="G50" s="8">
        <v>0</v>
      </c>
      <c r="H50" s="14">
        <v>1254.7</v>
      </c>
      <c r="I50" s="14"/>
      <c r="J50" s="14">
        <v>785.6</v>
      </c>
      <c r="K50" s="22">
        <v>2</v>
      </c>
      <c r="L50" s="10">
        <v>5.08</v>
      </c>
      <c r="M50" s="16">
        <f t="shared" si="0"/>
        <v>6373.876</v>
      </c>
      <c r="N50" s="16">
        <f t="shared" si="1"/>
        <v>76486.512</v>
      </c>
      <c r="O50" s="17">
        <f t="shared" si="2"/>
        <v>72929.889192</v>
      </c>
      <c r="P50" s="77">
        <v>0</v>
      </c>
      <c r="Q50" s="18">
        <v>0</v>
      </c>
      <c r="R50" s="18">
        <v>0</v>
      </c>
      <c r="S50" s="18">
        <v>0</v>
      </c>
      <c r="T50" s="18">
        <v>0</v>
      </c>
      <c r="U50" s="96">
        <f>11.595</f>
        <v>11.595</v>
      </c>
      <c r="V50" s="104">
        <v>3.02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91">
        <f t="shared" si="3"/>
        <v>14.615</v>
      </c>
      <c r="AK50" s="5">
        <f t="shared" si="7"/>
        <v>9528.22067394856</v>
      </c>
      <c r="AL50" s="5">
        <f t="shared" si="8"/>
        <v>6455.307234100371</v>
      </c>
      <c r="AM50" s="5">
        <f t="shared" si="9"/>
        <v>420.3955728493678</v>
      </c>
    </row>
    <row r="51" spans="1:39" ht="15.75">
      <c r="A51" s="12">
        <v>47</v>
      </c>
      <c r="B51" s="13" t="s">
        <v>80</v>
      </c>
      <c r="C51" s="14">
        <v>1962</v>
      </c>
      <c r="D51" s="14">
        <v>3</v>
      </c>
      <c r="E51" s="14">
        <v>24</v>
      </c>
      <c r="F51" s="14">
        <v>963.7</v>
      </c>
      <c r="G51" s="8">
        <v>0</v>
      </c>
      <c r="H51" s="14">
        <v>963.7</v>
      </c>
      <c r="I51" s="14"/>
      <c r="J51" s="14">
        <v>602.3</v>
      </c>
      <c r="K51" s="23">
        <v>2</v>
      </c>
      <c r="L51" s="10">
        <v>5.08</v>
      </c>
      <c r="M51" s="16">
        <f t="shared" si="0"/>
        <v>4895.5960000000005</v>
      </c>
      <c r="N51" s="16">
        <f t="shared" si="1"/>
        <v>58747.152</v>
      </c>
      <c r="O51" s="17">
        <f t="shared" si="2"/>
        <v>56015.409432</v>
      </c>
      <c r="P51" s="103">
        <v>8.951</v>
      </c>
      <c r="Q51" s="142">
        <v>7.427</v>
      </c>
      <c r="R51" s="18">
        <v>0</v>
      </c>
      <c r="S51" s="18">
        <v>0</v>
      </c>
      <c r="T51" s="18">
        <v>0</v>
      </c>
      <c r="U51" s="18">
        <v>0</v>
      </c>
      <c r="V51" s="18">
        <v>0.815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6">
        <v>13.918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91">
        <f t="shared" si="3"/>
        <v>31.111</v>
      </c>
      <c r="AK51" s="5">
        <f t="shared" si="7"/>
        <v>7318.359977272836</v>
      </c>
      <c r="AL51" s="5">
        <f t="shared" si="8"/>
        <v>4958.141054835839</v>
      </c>
      <c r="AM51" s="5">
        <f t="shared" si="9"/>
        <v>322.89408906904896</v>
      </c>
    </row>
    <row r="52" spans="1:39" ht="15.75">
      <c r="A52" s="12">
        <v>48</v>
      </c>
      <c r="B52" s="13" t="s">
        <v>81</v>
      </c>
      <c r="C52" s="14">
        <v>1972</v>
      </c>
      <c r="D52" s="14">
        <v>5</v>
      </c>
      <c r="E52" s="14">
        <v>72</v>
      </c>
      <c r="F52" s="14">
        <v>3868.4</v>
      </c>
      <c r="G52" s="8">
        <v>703.4</v>
      </c>
      <c r="H52" s="14">
        <v>3165</v>
      </c>
      <c r="I52" s="14"/>
      <c r="J52" s="14">
        <v>1974.1</v>
      </c>
      <c r="K52" s="23">
        <v>4</v>
      </c>
      <c r="L52" s="10">
        <v>5.08</v>
      </c>
      <c r="M52" s="16">
        <f t="shared" si="0"/>
        <v>16078.2</v>
      </c>
      <c r="N52" s="16">
        <f t="shared" si="1"/>
        <v>192938.40000000002</v>
      </c>
      <c r="O52" s="17">
        <f t="shared" si="2"/>
        <v>183966.76440000001</v>
      </c>
      <c r="P52" s="103">
        <v>16.864</v>
      </c>
      <c r="Q52" s="18">
        <v>0</v>
      </c>
      <c r="R52" s="18">
        <v>0</v>
      </c>
      <c r="S52" s="18">
        <v>0</v>
      </c>
      <c r="T52" s="100">
        <v>72.407</v>
      </c>
      <c r="U52" s="96">
        <f>64.682</f>
        <v>64.682</v>
      </c>
      <c r="V52" s="104">
        <f>0.863+0.815</f>
        <v>1.678</v>
      </c>
      <c r="W52" s="18">
        <v>0</v>
      </c>
      <c r="X52" s="18">
        <v>0</v>
      </c>
      <c r="Y52" s="107">
        <v>1.616</v>
      </c>
      <c r="Z52" s="18">
        <v>0</v>
      </c>
      <c r="AA52" s="110">
        <v>10.454</v>
      </c>
      <c r="AB52" s="18">
        <v>0</v>
      </c>
      <c r="AC52" s="187">
        <v>1.095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91">
        <f t="shared" si="3"/>
        <v>168.79600000000002</v>
      </c>
      <c r="AK52" s="5">
        <f t="shared" si="7"/>
        <v>29376.71862206313</v>
      </c>
      <c r="AL52" s="5">
        <f t="shared" si="8"/>
        <v>19902.534872394896</v>
      </c>
      <c r="AM52" s="5">
        <f t="shared" si="9"/>
        <v>1296.1331266521831</v>
      </c>
    </row>
    <row r="53" spans="1:39" ht="15.75">
      <c r="A53" s="12">
        <v>49</v>
      </c>
      <c r="B53" s="13" t="s">
        <v>82</v>
      </c>
      <c r="C53" s="14">
        <v>1970</v>
      </c>
      <c r="D53" s="14">
        <v>5</v>
      </c>
      <c r="E53" s="14">
        <v>60</v>
      </c>
      <c r="F53" s="14">
        <v>2786.5</v>
      </c>
      <c r="G53" s="8">
        <v>0</v>
      </c>
      <c r="H53" s="14">
        <v>2786.5</v>
      </c>
      <c r="I53" s="14"/>
      <c r="J53" s="14">
        <v>1890.6</v>
      </c>
      <c r="K53" s="23">
        <v>4</v>
      </c>
      <c r="L53" s="10">
        <v>5.08</v>
      </c>
      <c r="M53" s="16">
        <f t="shared" si="0"/>
        <v>14155.42</v>
      </c>
      <c r="N53" s="16">
        <f t="shared" si="1"/>
        <v>169865.04</v>
      </c>
      <c r="O53" s="17">
        <f t="shared" si="2"/>
        <v>161966.31564000002</v>
      </c>
      <c r="P53" s="77">
        <v>0</v>
      </c>
      <c r="Q53" s="18">
        <v>0</v>
      </c>
      <c r="R53" s="18">
        <v>0</v>
      </c>
      <c r="S53" s="97">
        <f>4.366+1.741</f>
        <v>6.106999999999999</v>
      </c>
      <c r="T53" s="18">
        <v>0</v>
      </c>
      <c r="U53" s="18">
        <v>0</v>
      </c>
      <c r="V53" s="104">
        <v>2.465</v>
      </c>
      <c r="W53" s="18">
        <v>0</v>
      </c>
      <c r="X53" s="18">
        <v>0</v>
      </c>
      <c r="Y53" s="107">
        <v>2.494</v>
      </c>
      <c r="Z53" s="18">
        <v>0</v>
      </c>
      <c r="AA53" s="110">
        <v>1.174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91">
        <f t="shared" si="3"/>
        <v>12.239999999999998</v>
      </c>
      <c r="AK53" s="5">
        <f t="shared" si="7"/>
        <v>21160.745124697267</v>
      </c>
      <c r="AL53" s="5">
        <f t="shared" si="8"/>
        <v>14336.266524125833</v>
      </c>
      <c r="AM53" s="5">
        <f t="shared" si="9"/>
        <v>933.6353421094789</v>
      </c>
    </row>
    <row r="54" spans="1:36" s="55" customFormat="1" ht="15.75">
      <c r="A54" s="45">
        <v>50</v>
      </c>
      <c r="B54" s="46" t="s">
        <v>83</v>
      </c>
      <c r="C54" s="47" t="s">
        <v>71</v>
      </c>
      <c r="D54" s="47">
        <v>2</v>
      </c>
      <c r="E54" s="47">
        <v>6</v>
      </c>
      <c r="F54" s="47">
        <v>783.6</v>
      </c>
      <c r="G54" s="48">
        <v>324.9</v>
      </c>
      <c r="H54" s="47">
        <f>458.7-I54</f>
        <v>125.20999999999998</v>
      </c>
      <c r="I54" s="47">
        <f>135.44+198.05</f>
        <v>333.49</v>
      </c>
      <c r="J54" s="47">
        <v>295.7</v>
      </c>
      <c r="K54" s="50">
        <v>1</v>
      </c>
      <c r="L54" s="50">
        <v>5.08</v>
      </c>
      <c r="M54" s="51">
        <f t="shared" si="0"/>
        <v>636.0668</v>
      </c>
      <c r="N54" s="51">
        <f t="shared" si="1"/>
        <v>7632.801599999999</v>
      </c>
      <c r="O54" s="52">
        <f t="shared" si="2"/>
        <v>7277.876325599999</v>
      </c>
      <c r="P54" s="79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4">
        <f t="shared" si="3"/>
        <v>0</v>
      </c>
    </row>
    <row r="55" spans="1:39" ht="15.75">
      <c r="A55" s="12">
        <v>51</v>
      </c>
      <c r="B55" s="13" t="s">
        <v>84</v>
      </c>
      <c r="C55" s="14" t="s">
        <v>30</v>
      </c>
      <c r="D55" s="14">
        <v>3</v>
      </c>
      <c r="E55" s="14">
        <v>12</v>
      </c>
      <c r="F55" s="14">
        <v>889.2</v>
      </c>
      <c r="G55" s="8">
        <v>250.5</v>
      </c>
      <c r="H55" s="14">
        <v>638.7</v>
      </c>
      <c r="I55" s="14"/>
      <c r="J55" s="14">
        <v>408.5</v>
      </c>
      <c r="K55" s="23">
        <v>1</v>
      </c>
      <c r="L55" s="10">
        <v>5.08</v>
      </c>
      <c r="M55" s="16">
        <f t="shared" si="0"/>
        <v>3244.5960000000005</v>
      </c>
      <c r="N55" s="16">
        <f t="shared" si="1"/>
        <v>38935.152</v>
      </c>
      <c r="O55" s="17">
        <f t="shared" si="2"/>
        <v>37124.667432</v>
      </c>
      <c r="P55" s="103">
        <v>2.882</v>
      </c>
      <c r="Q55" s="18">
        <v>0</v>
      </c>
      <c r="R55" s="18">
        <v>0</v>
      </c>
      <c r="S55" s="97">
        <f>0.935+3.629</f>
        <v>4.564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91">
        <f t="shared" si="3"/>
        <v>7.446</v>
      </c>
      <c r="AK55" s="5">
        <f aca="true" t="shared" si="10" ref="AK55:AK60">4963963*F55/653667.1</f>
        <v>6752.6052628318</v>
      </c>
      <c r="AL55" s="5">
        <f aca="true" t="shared" si="11" ref="AL55:AL60">3362538*F55/653567.1</f>
        <v>4574.845933340281</v>
      </c>
      <c r="AM55" s="5">
        <f aca="true" t="shared" si="12" ref="AM55:AM60">218982*F55/653567.1</f>
        <v>297.93236899470617</v>
      </c>
    </row>
    <row r="56" spans="1:39" ht="15.75">
      <c r="A56" s="12">
        <v>52</v>
      </c>
      <c r="B56" s="13" t="s">
        <v>85</v>
      </c>
      <c r="C56" s="14" t="s">
        <v>30</v>
      </c>
      <c r="D56" s="14">
        <v>4</v>
      </c>
      <c r="E56" s="14">
        <v>10</v>
      </c>
      <c r="F56" s="14">
        <v>667.2</v>
      </c>
      <c r="G56" s="8">
        <v>165.6</v>
      </c>
      <c r="H56" s="14">
        <v>501.6</v>
      </c>
      <c r="I56" s="14"/>
      <c r="J56" s="14">
        <v>298.6</v>
      </c>
      <c r="K56" s="23">
        <v>1</v>
      </c>
      <c r="L56" s="10">
        <v>5.08</v>
      </c>
      <c r="M56" s="16">
        <f t="shared" si="0"/>
        <v>2548.128</v>
      </c>
      <c r="N56" s="16">
        <f t="shared" si="1"/>
        <v>30577.536</v>
      </c>
      <c r="O56" s="17">
        <f t="shared" si="2"/>
        <v>29155.680576</v>
      </c>
      <c r="P56" s="77">
        <v>0</v>
      </c>
      <c r="Q56" s="142">
        <v>2.806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06">
        <v>4.186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91">
        <f t="shared" si="3"/>
        <v>6.992</v>
      </c>
      <c r="AK56" s="5">
        <f t="shared" si="10"/>
        <v>5066.73215402764</v>
      </c>
      <c r="AL56" s="5">
        <f t="shared" si="11"/>
        <v>3432.677920293112</v>
      </c>
      <c r="AM56" s="5">
        <f t="shared" si="12"/>
        <v>223.54979373961757</v>
      </c>
    </row>
    <row r="57" spans="1:39" ht="15.75">
      <c r="A57" s="12">
        <v>53</v>
      </c>
      <c r="B57" s="13" t="s">
        <v>86</v>
      </c>
      <c r="C57" s="14" t="s">
        <v>30</v>
      </c>
      <c r="D57" s="14">
        <v>3</v>
      </c>
      <c r="E57" s="14">
        <v>9</v>
      </c>
      <c r="F57" s="14">
        <v>853.2</v>
      </c>
      <c r="G57" s="8">
        <v>297.5</v>
      </c>
      <c r="H57" s="14">
        <v>555.7</v>
      </c>
      <c r="I57" s="14"/>
      <c r="J57" s="14">
        <v>377.2</v>
      </c>
      <c r="K57" s="23">
        <v>1</v>
      </c>
      <c r="L57" s="10">
        <v>5.08</v>
      </c>
      <c r="M57" s="16">
        <f t="shared" si="0"/>
        <v>2822.956</v>
      </c>
      <c r="N57" s="16">
        <f>M57*$N$1</f>
        <v>33875.472</v>
      </c>
      <c r="O57" s="17">
        <f t="shared" si="2"/>
        <v>32300.262552000004</v>
      </c>
      <c r="P57" s="77">
        <v>0</v>
      </c>
      <c r="Q57" s="142">
        <v>2.806</v>
      </c>
      <c r="R57" s="18">
        <v>0</v>
      </c>
      <c r="S57" s="18">
        <v>0</v>
      </c>
      <c r="T57" s="18">
        <v>0</v>
      </c>
      <c r="U57" s="96">
        <f>39.631</f>
        <v>39.631</v>
      </c>
      <c r="V57" s="104">
        <v>1.725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91">
        <f t="shared" si="3"/>
        <v>44.162</v>
      </c>
      <c r="AK57" s="5">
        <f t="shared" si="10"/>
        <v>6479.220434377072</v>
      </c>
      <c r="AL57" s="5">
        <f t="shared" si="11"/>
        <v>4389.629498792091</v>
      </c>
      <c r="AM57" s="5">
        <f t="shared" si="12"/>
        <v>285.8703297641512</v>
      </c>
    </row>
    <row r="58" spans="1:39" ht="15.75">
      <c r="A58" s="12">
        <v>54</v>
      </c>
      <c r="B58" s="13" t="s">
        <v>87</v>
      </c>
      <c r="C58" s="14" t="s">
        <v>30</v>
      </c>
      <c r="D58" s="14">
        <v>3</v>
      </c>
      <c r="E58" s="14">
        <v>8</v>
      </c>
      <c r="F58" s="14">
        <v>546</v>
      </c>
      <c r="G58" s="8">
        <v>179.2</v>
      </c>
      <c r="H58" s="14">
        <v>366.8</v>
      </c>
      <c r="I58" s="14"/>
      <c r="J58" s="14">
        <v>208.7</v>
      </c>
      <c r="K58" s="10">
        <v>1</v>
      </c>
      <c r="L58" s="10">
        <v>5.08</v>
      </c>
      <c r="M58" s="16">
        <f t="shared" si="0"/>
        <v>1863.344</v>
      </c>
      <c r="N58" s="16">
        <f t="shared" si="1"/>
        <v>22360.128</v>
      </c>
      <c r="O58" s="17">
        <f t="shared" si="2"/>
        <v>21320.382048</v>
      </c>
      <c r="P58" s="103">
        <v>14.861</v>
      </c>
      <c r="Q58" s="142">
        <v>27.093</v>
      </c>
      <c r="R58" s="18">
        <v>0</v>
      </c>
      <c r="S58" s="18">
        <v>0</v>
      </c>
      <c r="T58" s="99">
        <f>9.301</f>
        <v>9.301</v>
      </c>
      <c r="U58" s="18">
        <v>0</v>
      </c>
      <c r="V58" s="18">
        <v>0</v>
      </c>
      <c r="W58" s="18">
        <v>0</v>
      </c>
      <c r="X58" s="279">
        <v>4.642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91">
        <f t="shared" si="3"/>
        <v>55.897000000000006</v>
      </c>
      <c r="AK58" s="5">
        <f t="shared" si="10"/>
        <v>4146.336564896719</v>
      </c>
      <c r="AL58" s="5">
        <f t="shared" si="11"/>
        <v>2809.1159239808735</v>
      </c>
      <c r="AM58" s="5">
        <f t="shared" si="12"/>
        <v>182.94092833008273</v>
      </c>
    </row>
    <row r="59" spans="1:39" ht="15.75">
      <c r="A59" s="12">
        <v>55</v>
      </c>
      <c r="B59" s="13" t="s">
        <v>88</v>
      </c>
      <c r="C59" s="14" t="s">
        <v>30</v>
      </c>
      <c r="D59" s="14">
        <v>2</v>
      </c>
      <c r="E59" s="14">
        <v>10</v>
      </c>
      <c r="F59" s="14">
        <v>886.5</v>
      </c>
      <c r="G59" s="8">
        <v>303.6</v>
      </c>
      <c r="H59" s="14">
        <v>582.9</v>
      </c>
      <c r="I59" s="14"/>
      <c r="J59" s="14">
        <v>294.9</v>
      </c>
      <c r="K59" s="10">
        <v>1</v>
      </c>
      <c r="L59" s="10">
        <v>5.08</v>
      </c>
      <c r="M59" s="16">
        <f t="shared" si="0"/>
        <v>2961.132</v>
      </c>
      <c r="N59" s="16">
        <f t="shared" si="1"/>
        <v>35533.584</v>
      </c>
      <c r="O59" s="17">
        <f t="shared" si="2"/>
        <v>33881.272344000005</v>
      </c>
      <c r="P59" s="77">
        <v>0</v>
      </c>
      <c r="Q59" s="142">
        <v>22.927</v>
      </c>
      <c r="R59" s="18">
        <v>0</v>
      </c>
      <c r="S59" s="18">
        <v>0</v>
      </c>
      <c r="T59" s="18">
        <v>0</v>
      </c>
      <c r="U59" s="18">
        <v>0</v>
      </c>
      <c r="V59" s="104">
        <v>3.829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91">
        <f t="shared" si="3"/>
        <v>26.756</v>
      </c>
      <c r="AK59" s="5">
        <f t="shared" si="10"/>
        <v>6732.101400697695</v>
      </c>
      <c r="AL59" s="5">
        <f t="shared" si="11"/>
        <v>4560.954700749166</v>
      </c>
      <c r="AM59" s="5">
        <f t="shared" si="12"/>
        <v>297.0277160524145</v>
      </c>
    </row>
    <row r="60" spans="1:39" ht="15.75">
      <c r="A60" s="12">
        <v>56</v>
      </c>
      <c r="B60" s="13" t="s">
        <v>89</v>
      </c>
      <c r="C60" s="14">
        <v>1917</v>
      </c>
      <c r="D60" s="14">
        <v>4</v>
      </c>
      <c r="E60" s="14">
        <v>39</v>
      </c>
      <c r="F60" s="14">
        <v>2603.1</v>
      </c>
      <c r="G60" s="8">
        <v>464.1</v>
      </c>
      <c r="H60" s="14">
        <v>2139</v>
      </c>
      <c r="I60" s="14"/>
      <c r="J60" s="14">
        <v>1324.1</v>
      </c>
      <c r="K60" s="10">
        <v>3</v>
      </c>
      <c r="L60" s="10">
        <v>5.08</v>
      </c>
      <c r="M60" s="16">
        <f t="shared" si="0"/>
        <v>10866.12</v>
      </c>
      <c r="N60" s="16">
        <f t="shared" si="1"/>
        <v>130393.44</v>
      </c>
      <c r="O60" s="17">
        <f t="shared" si="2"/>
        <v>124330.14504</v>
      </c>
      <c r="P60" s="77">
        <v>0</v>
      </c>
      <c r="Q60" s="18">
        <v>0</v>
      </c>
      <c r="R60" s="18">
        <v>0</v>
      </c>
      <c r="S60" s="97">
        <v>66.377</v>
      </c>
      <c r="T60" s="99">
        <f>356.771+142.385</f>
        <v>499.156</v>
      </c>
      <c r="U60" s="96">
        <f>18.948</f>
        <v>18.948</v>
      </c>
      <c r="V60" s="18">
        <v>0</v>
      </c>
      <c r="W60" s="18">
        <v>0</v>
      </c>
      <c r="X60" s="18">
        <v>0</v>
      </c>
      <c r="Y60" s="107">
        <v>7.602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91">
        <f t="shared" si="3"/>
        <v>592.083</v>
      </c>
      <c r="AK60" s="5">
        <f t="shared" si="10"/>
        <v>19768.001304180674</v>
      </c>
      <c r="AL60" s="5">
        <f t="shared" si="11"/>
        <v>13392.691688121999</v>
      </c>
      <c r="AM60" s="5">
        <f t="shared" si="12"/>
        <v>872.1859533627074</v>
      </c>
    </row>
    <row r="61" spans="1:36" s="55" customFormat="1" ht="15.75">
      <c r="A61" s="45">
        <v>57</v>
      </c>
      <c r="B61" s="46" t="s">
        <v>90</v>
      </c>
      <c r="C61" s="47" t="s">
        <v>30</v>
      </c>
      <c r="D61" s="47">
        <v>3</v>
      </c>
      <c r="E61" s="47">
        <v>9</v>
      </c>
      <c r="F61" s="47">
        <v>751.7</v>
      </c>
      <c r="G61" s="48">
        <v>0</v>
      </c>
      <c r="H61" s="47">
        <f>751.7-I61</f>
        <v>453.75</v>
      </c>
      <c r="I61" s="47">
        <f>214.83+83.12</f>
        <v>297.95000000000005</v>
      </c>
      <c r="J61" s="47">
        <v>545.1</v>
      </c>
      <c r="K61" s="50">
        <v>1</v>
      </c>
      <c r="L61" s="50">
        <v>5.08</v>
      </c>
      <c r="M61" s="51">
        <f t="shared" si="0"/>
        <v>2305.05</v>
      </c>
      <c r="N61" s="51">
        <f t="shared" si="1"/>
        <v>27660.600000000002</v>
      </c>
      <c r="O61" s="52">
        <f t="shared" si="2"/>
        <v>26374.382100000003</v>
      </c>
      <c r="P61" s="79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4">
        <f t="shared" si="3"/>
        <v>0</v>
      </c>
    </row>
    <row r="62" spans="1:39" ht="15.75">
      <c r="A62" s="12">
        <v>58</v>
      </c>
      <c r="B62" s="13" t="s">
        <v>91</v>
      </c>
      <c r="C62" s="14">
        <v>1917</v>
      </c>
      <c r="D62" s="14">
        <v>3</v>
      </c>
      <c r="E62" s="14">
        <v>16</v>
      </c>
      <c r="F62" s="14">
        <v>1265.1</v>
      </c>
      <c r="G62" s="8">
        <v>428.9</v>
      </c>
      <c r="H62" s="14">
        <v>836.2</v>
      </c>
      <c r="I62" s="14"/>
      <c r="J62" s="14">
        <v>533.8</v>
      </c>
      <c r="K62" s="10">
        <v>2</v>
      </c>
      <c r="L62" s="10">
        <v>5.08</v>
      </c>
      <c r="M62" s="16">
        <f t="shared" si="0"/>
        <v>4247.896000000001</v>
      </c>
      <c r="N62" s="16">
        <f t="shared" si="1"/>
        <v>50974.75200000001</v>
      </c>
      <c r="O62" s="17">
        <f t="shared" si="2"/>
        <v>48604.42603200001</v>
      </c>
      <c r="P62" s="77">
        <v>0</v>
      </c>
      <c r="Q62" s="142">
        <v>2.806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07">
        <v>0.653</v>
      </c>
      <c r="Z62" s="106">
        <v>0.086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91">
        <f t="shared" si="3"/>
        <v>3.545</v>
      </c>
      <c r="AK62" s="5">
        <f>4963963*F62/653667.1</f>
        <v>9607.198513279924</v>
      </c>
      <c r="AL62" s="5">
        <f>3362538*F62/653567.1</f>
        <v>6508.814204080958</v>
      </c>
      <c r="AM62" s="5">
        <f>218982*F62/653567.1</f>
        <v>423.8801619604169</v>
      </c>
    </row>
    <row r="63" spans="1:39" ht="15.75">
      <c r="A63" s="12">
        <v>59</v>
      </c>
      <c r="B63" s="13" t="s">
        <v>92</v>
      </c>
      <c r="C63" s="14">
        <v>1939</v>
      </c>
      <c r="D63" s="14">
        <v>3</v>
      </c>
      <c r="E63" s="14">
        <v>18</v>
      </c>
      <c r="F63" s="14">
        <v>1787.2</v>
      </c>
      <c r="G63" s="8">
        <v>456.5</v>
      </c>
      <c r="H63" s="14">
        <v>1330.7</v>
      </c>
      <c r="I63" s="14"/>
      <c r="J63" s="14">
        <v>841.5</v>
      </c>
      <c r="K63" s="10">
        <v>3</v>
      </c>
      <c r="L63" s="10">
        <v>5.08</v>
      </c>
      <c r="M63" s="16">
        <f t="shared" si="0"/>
        <v>6759.956</v>
      </c>
      <c r="N63" s="16">
        <f t="shared" si="1"/>
        <v>81119.47200000001</v>
      </c>
      <c r="O63" s="17">
        <f t="shared" si="2"/>
        <v>77347.41655200001</v>
      </c>
      <c r="P63" s="103">
        <v>2.087</v>
      </c>
      <c r="Q63" s="142">
        <v>0.628</v>
      </c>
      <c r="R63" s="18">
        <v>0</v>
      </c>
      <c r="S63" s="18">
        <v>0</v>
      </c>
      <c r="T63" s="18">
        <v>0</v>
      </c>
      <c r="U63" s="18">
        <v>0</v>
      </c>
      <c r="V63" s="104">
        <f>9.06+1.276+7.436</f>
        <v>17.772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91">
        <f t="shared" si="3"/>
        <v>20.487</v>
      </c>
      <c r="AK63" s="5">
        <f>4963963*F63/653667.1</f>
        <v>13572.037928174756</v>
      </c>
      <c r="AL63" s="5">
        <f>3362538*F63/653567.1</f>
        <v>9194.966995125673</v>
      </c>
      <c r="AM63" s="5">
        <f>218982*F63/653567.1</f>
        <v>598.8132364679924</v>
      </c>
    </row>
    <row r="64" spans="1:39" ht="15.75">
      <c r="A64" s="12">
        <v>60</v>
      </c>
      <c r="B64" s="13" t="s">
        <v>93</v>
      </c>
      <c r="C64" s="14" t="s">
        <v>30</v>
      </c>
      <c r="D64" s="14">
        <v>2</v>
      </c>
      <c r="E64" s="14">
        <v>2</v>
      </c>
      <c r="F64" s="14">
        <v>277.3</v>
      </c>
      <c r="G64" s="8">
        <v>129.7</v>
      </c>
      <c r="H64" s="14">
        <v>142.2</v>
      </c>
      <c r="I64" s="14"/>
      <c r="J64" s="14">
        <v>98.9</v>
      </c>
      <c r="K64" s="10">
        <v>1</v>
      </c>
      <c r="L64" s="10">
        <v>5.08</v>
      </c>
      <c r="M64" s="16">
        <f t="shared" si="0"/>
        <v>722.376</v>
      </c>
      <c r="N64" s="16">
        <f t="shared" si="1"/>
        <v>8668.511999999999</v>
      </c>
      <c r="O64" s="17">
        <f t="shared" si="2"/>
        <v>8265.426191999999</v>
      </c>
      <c r="P64" s="77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279">
        <v>6.449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91">
        <f t="shared" si="3"/>
        <v>6.449</v>
      </c>
      <c r="AK64" s="5">
        <f>4963963*F64/653667.1</f>
        <v>2105.8225814026746</v>
      </c>
      <c r="AL64" s="5">
        <f>3362538*F64/653567.1</f>
        <v>1426.6810361170262</v>
      </c>
      <c r="AM64" s="5">
        <f>218982*F64/653567.1</f>
        <v>92.91120773980208</v>
      </c>
    </row>
    <row r="65" spans="1:39" ht="15.75">
      <c r="A65" s="12">
        <v>61</v>
      </c>
      <c r="B65" s="13" t="s">
        <v>94</v>
      </c>
      <c r="C65" s="14">
        <v>1917</v>
      </c>
      <c r="D65" s="14">
        <v>3</v>
      </c>
      <c r="E65" s="14">
        <v>24</v>
      </c>
      <c r="F65" s="14">
        <v>2161.1</v>
      </c>
      <c r="G65" s="8">
        <v>909.6</v>
      </c>
      <c r="H65" s="14">
        <v>1251.5</v>
      </c>
      <c r="I65" s="14"/>
      <c r="J65" s="14">
        <v>722.1</v>
      </c>
      <c r="K65" s="10">
        <v>3</v>
      </c>
      <c r="L65" s="10">
        <v>5.08</v>
      </c>
      <c r="M65" s="16">
        <f t="shared" si="0"/>
        <v>6357.62</v>
      </c>
      <c r="N65" s="16">
        <f t="shared" si="1"/>
        <v>76291.44</v>
      </c>
      <c r="O65" s="17">
        <f t="shared" si="2"/>
        <v>72743.88804</v>
      </c>
      <c r="P65" s="103">
        <v>7.589</v>
      </c>
      <c r="Q65" s="142">
        <v>2.806</v>
      </c>
      <c r="R65" s="18">
        <v>0</v>
      </c>
      <c r="S65" s="18">
        <v>0</v>
      </c>
      <c r="T65" s="99">
        <v>104.534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10">
        <v>32.699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91">
        <f t="shared" si="3"/>
        <v>147.628</v>
      </c>
      <c r="AK65" s="5">
        <f>4963963*F65/653667.1</f>
        <v>16411.44313259762</v>
      </c>
      <c r="AL65" s="5">
        <f>3362538*F65/653567.1</f>
        <v>11118.645463947007</v>
      </c>
      <c r="AM65" s="5">
        <f>218982*F65/653567.1</f>
        <v>724.0909161431167</v>
      </c>
    </row>
    <row r="66" spans="1:39" ht="15.75">
      <c r="A66" s="12"/>
      <c r="B66" s="13" t="s">
        <v>359</v>
      </c>
      <c r="C66" s="14"/>
      <c r="D66" s="14"/>
      <c r="E66" s="14"/>
      <c r="F66" s="14"/>
      <c r="G66" s="8"/>
      <c r="H66" s="14"/>
      <c r="I66" s="14"/>
      <c r="J66" s="14"/>
      <c r="K66" s="10"/>
      <c r="L66" s="10"/>
      <c r="M66" s="16"/>
      <c r="N66" s="16"/>
      <c r="O66" s="17"/>
      <c r="P66" s="103">
        <v>58.088</v>
      </c>
      <c r="Q66" s="142">
        <v>2.806</v>
      </c>
      <c r="R66" s="18">
        <v>0</v>
      </c>
      <c r="S66" s="18">
        <v>0</v>
      </c>
      <c r="T66" s="99"/>
      <c r="U66" s="18">
        <v>0</v>
      </c>
      <c r="V66" s="104">
        <v>1.276</v>
      </c>
      <c r="W66" s="18">
        <v>0</v>
      </c>
      <c r="X66" s="18">
        <v>0</v>
      </c>
      <c r="Y66" s="18">
        <v>0</v>
      </c>
      <c r="Z66" s="18">
        <v>0</v>
      </c>
      <c r="AA66" s="110">
        <v>0.917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91">
        <f t="shared" si="3"/>
        <v>63.087</v>
      </c>
      <c r="AK66" s="5">
        <f>759+2587.28</f>
        <v>3346.28</v>
      </c>
      <c r="AL66" s="5">
        <v>1752.87</v>
      </c>
      <c r="AM66" s="5">
        <v>114.154</v>
      </c>
    </row>
    <row r="67" spans="1:36" s="65" customFormat="1" ht="15.75">
      <c r="A67" s="56">
        <v>62</v>
      </c>
      <c r="B67" s="57" t="s">
        <v>95</v>
      </c>
      <c r="C67" s="58">
        <v>1956</v>
      </c>
      <c r="D67" s="58">
        <v>2</v>
      </c>
      <c r="E67" s="58">
        <v>8</v>
      </c>
      <c r="F67" s="58">
        <v>393.3</v>
      </c>
      <c r="G67" s="59"/>
      <c r="H67" s="58">
        <f>393.3*0</f>
        <v>0</v>
      </c>
      <c r="I67" s="58"/>
      <c r="J67" s="58"/>
      <c r="K67" s="57">
        <v>1</v>
      </c>
      <c r="L67" s="60" t="s">
        <v>336</v>
      </c>
      <c r="M67" s="61">
        <v>0</v>
      </c>
      <c r="N67" s="61">
        <f>M67*$N$1</f>
        <v>0</v>
      </c>
      <c r="O67" s="62">
        <f t="shared" si="2"/>
        <v>0</v>
      </c>
      <c r="P67" s="78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4">
        <f t="shared" si="3"/>
        <v>0</v>
      </c>
    </row>
    <row r="68" spans="1:39" ht="15.75">
      <c r="A68" s="12">
        <v>63</v>
      </c>
      <c r="B68" s="13" t="s">
        <v>96</v>
      </c>
      <c r="C68" s="14">
        <v>1959</v>
      </c>
      <c r="D68" s="14">
        <v>2</v>
      </c>
      <c r="E68" s="14">
        <v>8</v>
      </c>
      <c r="F68" s="14">
        <v>290.2</v>
      </c>
      <c r="G68" s="8">
        <v>0</v>
      </c>
      <c r="H68" s="14">
        <v>290.2</v>
      </c>
      <c r="I68" s="14"/>
      <c r="J68" s="14">
        <v>189.1</v>
      </c>
      <c r="K68" s="20">
        <v>1</v>
      </c>
      <c r="L68" s="10">
        <v>5.08</v>
      </c>
      <c r="M68" s="16">
        <f t="shared" si="0"/>
        <v>1474.216</v>
      </c>
      <c r="N68" s="16">
        <f t="shared" si="1"/>
        <v>17690.591999999997</v>
      </c>
      <c r="O68" s="17">
        <f t="shared" si="2"/>
        <v>16867.979472</v>
      </c>
      <c r="P68" s="103">
        <v>7.95</v>
      </c>
      <c r="Q68" s="18">
        <v>0</v>
      </c>
      <c r="R68" s="18">
        <v>0</v>
      </c>
      <c r="S68" s="97">
        <v>0.6095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07">
        <f>1.218+1.616</f>
        <v>2.834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91">
        <f t="shared" si="3"/>
        <v>11.3935</v>
      </c>
      <c r="AK68" s="5">
        <f>4963963*F68/653667.1</f>
        <v>2203.7854782656186</v>
      </c>
      <c r="AL68" s="5">
        <f>3362538*F68/653567.1</f>
        <v>1493.050258496794</v>
      </c>
      <c r="AM68" s="5">
        <f>218982*F68/653567.1</f>
        <v>97.23343846408426</v>
      </c>
    </row>
    <row r="69" spans="1:39" ht="15.75">
      <c r="A69" s="12">
        <v>64</v>
      </c>
      <c r="B69" s="13" t="s">
        <v>97</v>
      </c>
      <c r="C69" s="14">
        <v>1958</v>
      </c>
      <c r="D69" s="14">
        <v>2</v>
      </c>
      <c r="E69" s="14">
        <v>8</v>
      </c>
      <c r="F69" s="14">
        <v>295.9</v>
      </c>
      <c r="G69" s="8">
        <v>0</v>
      </c>
      <c r="H69" s="14">
        <v>295.9</v>
      </c>
      <c r="I69" s="14"/>
      <c r="J69" s="14">
        <v>199.7</v>
      </c>
      <c r="K69" s="20">
        <v>1</v>
      </c>
      <c r="L69" s="10">
        <v>5.08</v>
      </c>
      <c r="M69" s="16">
        <f t="shared" si="0"/>
        <v>1503.1719999999998</v>
      </c>
      <c r="N69" s="16">
        <f t="shared" si="1"/>
        <v>18038.064</v>
      </c>
      <c r="O69" s="17">
        <f t="shared" si="2"/>
        <v>17199.294024</v>
      </c>
      <c r="P69" s="77">
        <v>0</v>
      </c>
      <c r="Q69" s="18">
        <v>0</v>
      </c>
      <c r="R69" s="18">
        <v>0</v>
      </c>
      <c r="S69" s="97">
        <v>0.6095</v>
      </c>
      <c r="T69" s="18">
        <v>0</v>
      </c>
      <c r="U69" s="18">
        <v>0</v>
      </c>
      <c r="V69" s="104">
        <v>6.163</v>
      </c>
      <c r="W69" s="18">
        <v>0</v>
      </c>
      <c r="X69" s="18">
        <v>0</v>
      </c>
      <c r="Y69" s="107">
        <v>5.839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91">
        <f t="shared" si="3"/>
        <v>12.6115</v>
      </c>
      <c r="AK69" s="5">
        <f>4963963*F69/653667.1</f>
        <v>2247.071409437617</v>
      </c>
      <c r="AL69" s="5">
        <f>3362538*F69/653567.1</f>
        <v>1522.376193966924</v>
      </c>
      <c r="AM69" s="5">
        <f>218982*F69/653567.1</f>
        <v>99.14326134225544</v>
      </c>
    </row>
    <row r="70" spans="1:36" s="65" customFormat="1" ht="15.75">
      <c r="A70" s="56">
        <v>65</v>
      </c>
      <c r="B70" s="57" t="s">
        <v>98</v>
      </c>
      <c r="C70" s="58">
        <v>1917</v>
      </c>
      <c r="D70" s="58">
        <v>2</v>
      </c>
      <c r="E70" s="58">
        <v>8</v>
      </c>
      <c r="F70" s="58">
        <v>395.8</v>
      </c>
      <c r="G70" s="58"/>
      <c r="H70" s="58">
        <f>395.8*0</f>
        <v>0</v>
      </c>
      <c r="I70" s="58"/>
      <c r="J70" s="58"/>
      <c r="K70" s="57">
        <v>1</v>
      </c>
      <c r="L70" s="60" t="s">
        <v>336</v>
      </c>
      <c r="M70" s="61">
        <v>0</v>
      </c>
      <c r="N70" s="61">
        <v>0</v>
      </c>
      <c r="O70" s="62">
        <v>0</v>
      </c>
      <c r="P70" s="78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4">
        <f t="shared" si="3"/>
        <v>0</v>
      </c>
    </row>
    <row r="71" spans="1:39" ht="15.75">
      <c r="A71" s="12">
        <v>66</v>
      </c>
      <c r="B71" s="13" t="s">
        <v>99</v>
      </c>
      <c r="C71" s="14" t="s">
        <v>100</v>
      </c>
      <c r="D71" s="14">
        <v>2</v>
      </c>
      <c r="E71" s="14">
        <v>8</v>
      </c>
      <c r="F71" s="14">
        <v>504.1</v>
      </c>
      <c r="G71" s="8">
        <v>0</v>
      </c>
      <c r="H71" s="14">
        <v>504.1</v>
      </c>
      <c r="I71" s="14"/>
      <c r="J71" s="14">
        <v>314.8</v>
      </c>
      <c r="K71" s="20">
        <v>1</v>
      </c>
      <c r="L71" s="10">
        <v>5.08</v>
      </c>
      <c r="M71" s="16">
        <f aca="true" t="shared" si="13" ref="M71:M134">L71*H71</f>
        <v>2560.828</v>
      </c>
      <c r="N71" s="16">
        <f aca="true" t="shared" si="14" ref="N71:N133">L71*H71*12</f>
        <v>30729.936</v>
      </c>
      <c r="O71" s="17">
        <f aca="true" t="shared" si="15" ref="O71:O134">N71*$O$1</f>
        <v>29300.993976</v>
      </c>
      <c r="P71" s="77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07">
        <v>1.218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91">
        <f aca="true" t="shared" si="16" ref="AJ71:AJ134">SUM(P71,Q71,R71,S71,T71,U71,V71,W71,X71,Y71,Z71,AA71,AB71,AC71,AD71,AE71,AF71,AG71,AH71,AI71)</f>
        <v>1.218</v>
      </c>
      <c r="AK71" s="5">
        <f>4963963*F71/653667.1</f>
        <v>3828.1470006674654</v>
      </c>
      <c r="AL71" s="5">
        <f>3362538*F71/653567.1</f>
        <v>2593.54457377062</v>
      </c>
      <c r="AM71" s="5">
        <f>218982*F71/653567.1</f>
        <v>168.902054892298</v>
      </c>
    </row>
    <row r="72" spans="1:39" ht="15.75">
      <c r="A72" s="12">
        <v>67</v>
      </c>
      <c r="B72" s="13" t="s">
        <v>101</v>
      </c>
      <c r="C72" s="14">
        <v>1965</v>
      </c>
      <c r="D72" s="14">
        <v>4</v>
      </c>
      <c r="E72" s="14">
        <v>32</v>
      </c>
      <c r="F72" s="14">
        <v>1286.3</v>
      </c>
      <c r="G72" s="8">
        <v>0</v>
      </c>
      <c r="H72" s="14">
        <v>1286.3</v>
      </c>
      <c r="I72" s="14"/>
      <c r="J72" s="14">
        <v>840.89</v>
      </c>
      <c r="K72" s="20">
        <v>2</v>
      </c>
      <c r="L72" s="10">
        <v>5.08</v>
      </c>
      <c r="M72" s="16">
        <f t="shared" si="13"/>
        <v>6534.4039999999995</v>
      </c>
      <c r="N72" s="16">
        <f>M72*$N$1</f>
        <v>78412.848</v>
      </c>
      <c r="O72" s="17">
        <f t="shared" si="15"/>
        <v>74766.650568</v>
      </c>
      <c r="P72" s="77">
        <v>0</v>
      </c>
      <c r="Q72" s="142">
        <v>5.612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07">
        <f>6.238+1.218</f>
        <v>7.456</v>
      </c>
      <c r="Z72" s="106">
        <v>0.086</v>
      </c>
      <c r="AA72" s="110">
        <f>2.747</f>
        <v>2.747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91">
        <f t="shared" si="16"/>
        <v>15.901000000000002</v>
      </c>
      <c r="AK72" s="5">
        <f>4963963*F72/653667.1</f>
        <v>9768.19180114771</v>
      </c>
      <c r="AL72" s="5">
        <f>3362538*F72/653567.1</f>
        <v>6617.886104426003</v>
      </c>
      <c r="AM72" s="5">
        <f>218982*F72/653567.1</f>
        <v>430.98336284063254</v>
      </c>
    </row>
    <row r="73" spans="1:36" s="55" customFormat="1" ht="15.75">
      <c r="A73" s="45">
        <v>68</v>
      </c>
      <c r="B73" s="46" t="s">
        <v>102</v>
      </c>
      <c r="C73" s="47" t="s">
        <v>30</v>
      </c>
      <c r="D73" s="47">
        <v>2</v>
      </c>
      <c r="E73" s="47">
        <v>6</v>
      </c>
      <c r="F73" s="47">
        <v>814.5</v>
      </c>
      <c r="G73" s="48">
        <v>231.4</v>
      </c>
      <c r="H73" s="47">
        <f>583.1-I73</f>
        <v>251.90000000000003</v>
      </c>
      <c r="I73" s="47">
        <f>104+227.2</f>
        <v>331.2</v>
      </c>
      <c r="J73" s="47">
        <v>416.8</v>
      </c>
      <c r="K73" s="66">
        <v>1</v>
      </c>
      <c r="L73" s="50">
        <v>5.08</v>
      </c>
      <c r="M73" s="51">
        <f t="shared" si="13"/>
        <v>1279.6520000000003</v>
      </c>
      <c r="N73" s="51">
        <f t="shared" si="14"/>
        <v>15355.824000000004</v>
      </c>
      <c r="O73" s="52">
        <f t="shared" si="15"/>
        <v>14641.778184000004</v>
      </c>
      <c r="P73" s="79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107">
        <v>6.238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4">
        <f t="shared" si="16"/>
        <v>6.238</v>
      </c>
    </row>
    <row r="74" spans="1:39" ht="15.75">
      <c r="A74" s="12">
        <v>69</v>
      </c>
      <c r="B74" s="13" t="s">
        <v>103</v>
      </c>
      <c r="C74" s="14" t="s">
        <v>71</v>
      </c>
      <c r="D74" s="14">
        <v>3</v>
      </c>
      <c r="E74" s="14">
        <v>17</v>
      </c>
      <c r="F74" s="14">
        <v>1346.8</v>
      </c>
      <c r="G74" s="8">
        <v>0</v>
      </c>
      <c r="H74" s="14">
        <v>1346.8</v>
      </c>
      <c r="I74" s="14"/>
      <c r="J74" s="14">
        <v>823.6</v>
      </c>
      <c r="K74" s="20">
        <v>2</v>
      </c>
      <c r="L74" s="10">
        <v>5.08</v>
      </c>
      <c r="M74" s="16">
        <f t="shared" si="13"/>
        <v>6841.744</v>
      </c>
      <c r="N74" s="16">
        <f t="shared" si="14"/>
        <v>82100.928</v>
      </c>
      <c r="O74" s="17">
        <f t="shared" si="15"/>
        <v>78283.23484800001</v>
      </c>
      <c r="P74" s="77">
        <v>0</v>
      </c>
      <c r="Q74" s="142">
        <v>4.209</v>
      </c>
      <c r="R74" s="18">
        <v>0</v>
      </c>
      <c r="S74" s="97">
        <f>0.442+3.483</f>
        <v>3.9250000000000003</v>
      </c>
      <c r="T74" s="18">
        <v>0</v>
      </c>
      <c r="U74" s="18">
        <v>0</v>
      </c>
      <c r="V74" s="104">
        <v>0.695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91">
        <f t="shared" si="16"/>
        <v>8.829</v>
      </c>
      <c r="AK74" s="5">
        <f aca="true" t="shared" si="17" ref="AK74:AK84">4963963*F74/653667.1</f>
        <v>10227.630193411906</v>
      </c>
      <c r="AL74" s="5">
        <f aca="true" t="shared" si="18" ref="AL74:AL84">3362538*F74/653567.1</f>
        <v>6929.152612486155</v>
      </c>
      <c r="AM74" s="5">
        <f aca="true" t="shared" si="19" ref="AM74:AM84">218982*F74/653567.1</f>
        <v>451.25428988087066</v>
      </c>
    </row>
    <row r="75" spans="1:39" ht="15.75">
      <c r="A75" s="12">
        <v>70</v>
      </c>
      <c r="B75" s="13" t="s">
        <v>104</v>
      </c>
      <c r="C75" s="14">
        <v>1963</v>
      </c>
      <c r="D75" s="14">
        <v>4</v>
      </c>
      <c r="E75" s="14">
        <v>48</v>
      </c>
      <c r="F75" s="14">
        <v>2024.5</v>
      </c>
      <c r="G75" s="8">
        <v>0</v>
      </c>
      <c r="H75" s="14">
        <v>2024.5</v>
      </c>
      <c r="I75" s="14"/>
      <c r="J75" s="14">
        <v>1302.6</v>
      </c>
      <c r="K75" s="20">
        <v>3</v>
      </c>
      <c r="L75" s="10">
        <v>5.08</v>
      </c>
      <c r="M75" s="16">
        <f t="shared" si="13"/>
        <v>10284.460000000001</v>
      </c>
      <c r="N75" s="16">
        <f t="shared" si="14"/>
        <v>123413.52000000002</v>
      </c>
      <c r="O75" s="17">
        <f t="shared" si="15"/>
        <v>117674.79132000002</v>
      </c>
      <c r="P75" s="103">
        <v>10.136</v>
      </c>
      <c r="Q75" s="142">
        <v>51.986</v>
      </c>
      <c r="R75" s="18">
        <v>0</v>
      </c>
      <c r="S75" s="97">
        <f>1.741</f>
        <v>1.741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10">
        <v>1.016</v>
      </c>
      <c r="AB75" s="10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91">
        <f t="shared" si="16"/>
        <v>64.879</v>
      </c>
      <c r="AK75" s="5">
        <f t="shared" si="17"/>
        <v>15374.099589072175</v>
      </c>
      <c r="AL75" s="5">
        <f t="shared" si="18"/>
        <v>10415.851992855822</v>
      </c>
      <c r="AM75" s="5">
        <f t="shared" si="19"/>
        <v>678.3221783960668</v>
      </c>
    </row>
    <row r="76" spans="1:39" ht="15.75">
      <c r="A76" s="12">
        <v>71</v>
      </c>
      <c r="B76" s="13" t="s">
        <v>105</v>
      </c>
      <c r="C76" s="14">
        <v>1964</v>
      </c>
      <c r="D76" s="14">
        <v>5</v>
      </c>
      <c r="E76" s="14">
        <v>56</v>
      </c>
      <c r="F76" s="14">
        <v>2496.6</v>
      </c>
      <c r="G76" s="8">
        <v>143.6</v>
      </c>
      <c r="H76" s="14">
        <v>2353</v>
      </c>
      <c r="I76" s="14"/>
      <c r="J76" s="14">
        <v>1479.75</v>
      </c>
      <c r="K76" s="20">
        <v>3</v>
      </c>
      <c r="L76" s="10">
        <v>5.08</v>
      </c>
      <c r="M76" s="16">
        <f t="shared" si="13"/>
        <v>11953.24</v>
      </c>
      <c r="N76" s="16">
        <f t="shared" si="14"/>
        <v>143438.88</v>
      </c>
      <c r="O76" s="17">
        <f t="shared" si="15"/>
        <v>136768.97208</v>
      </c>
      <c r="P76" s="103">
        <f>4.323+2.475</f>
        <v>6.798</v>
      </c>
      <c r="Q76" s="18">
        <v>0</v>
      </c>
      <c r="R76" s="18">
        <v>0</v>
      </c>
      <c r="S76" s="97">
        <v>16.871</v>
      </c>
      <c r="T76" s="99">
        <f>108.765+140.193+111.934</f>
        <v>360.89200000000005</v>
      </c>
      <c r="U76" s="96">
        <f>2.917</f>
        <v>2.917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10">
        <v>34.288</v>
      </c>
      <c r="AB76" s="108">
        <v>0</v>
      </c>
      <c r="AC76" s="187">
        <v>1.99239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91">
        <f t="shared" si="16"/>
        <v>423.75839</v>
      </c>
      <c r="AK76" s="5">
        <f t="shared" si="17"/>
        <v>18959.237853335435</v>
      </c>
      <c r="AL76" s="5">
        <f t="shared" si="18"/>
        <v>12844.75973591694</v>
      </c>
      <c r="AM76" s="5">
        <f t="shared" si="19"/>
        <v>836.5024206389825</v>
      </c>
    </row>
    <row r="77" spans="1:39" ht="15.75">
      <c r="A77" s="12">
        <v>72</v>
      </c>
      <c r="B77" s="13" t="s">
        <v>106</v>
      </c>
      <c r="C77" s="14">
        <v>1959</v>
      </c>
      <c r="D77" s="14">
        <v>1</v>
      </c>
      <c r="E77" s="14">
        <v>2</v>
      </c>
      <c r="F77" s="14">
        <v>120.7</v>
      </c>
      <c r="G77" s="8">
        <v>0</v>
      </c>
      <c r="H77" s="14">
        <v>120.7</v>
      </c>
      <c r="I77" s="14"/>
      <c r="J77" s="14">
        <v>50.8</v>
      </c>
      <c r="K77" s="20">
        <v>1</v>
      </c>
      <c r="L77" s="10">
        <v>5.08</v>
      </c>
      <c r="M77" s="16">
        <f t="shared" si="13"/>
        <v>613.1560000000001</v>
      </c>
      <c r="N77" s="16">
        <f t="shared" si="14"/>
        <v>7357.872000000001</v>
      </c>
      <c r="O77" s="17">
        <f t="shared" si="15"/>
        <v>7015.730952000002</v>
      </c>
      <c r="P77" s="77">
        <v>0</v>
      </c>
      <c r="Q77" s="142">
        <v>10.176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91">
        <f t="shared" si="16"/>
        <v>10.176</v>
      </c>
      <c r="AK77" s="5">
        <f t="shared" si="17"/>
        <v>916.5985776246044</v>
      </c>
      <c r="AL77" s="5">
        <f t="shared" si="18"/>
        <v>620.989545832402</v>
      </c>
      <c r="AM77" s="5">
        <f t="shared" si="19"/>
        <v>40.441337086888254</v>
      </c>
    </row>
    <row r="78" spans="1:39" ht="15.75">
      <c r="A78" s="12">
        <v>73</v>
      </c>
      <c r="B78" s="13" t="s">
        <v>107</v>
      </c>
      <c r="C78" s="14">
        <v>1982</v>
      </c>
      <c r="D78" s="14">
        <v>9</v>
      </c>
      <c r="E78" s="14">
        <v>33</v>
      </c>
      <c r="F78" s="14">
        <v>1690.2</v>
      </c>
      <c r="G78" s="8">
        <v>154.9</v>
      </c>
      <c r="H78" s="14">
        <v>1535.3</v>
      </c>
      <c r="I78" s="14"/>
      <c r="J78" s="14">
        <v>889.3</v>
      </c>
      <c r="K78" s="20">
        <v>1</v>
      </c>
      <c r="L78" s="10">
        <v>5.08</v>
      </c>
      <c r="M78" s="16">
        <f t="shared" si="13"/>
        <v>7799.324</v>
      </c>
      <c r="N78" s="16">
        <f>M78*$N$1</f>
        <v>93591.88799999999</v>
      </c>
      <c r="O78" s="17">
        <f t="shared" si="15"/>
        <v>89239.86520799999</v>
      </c>
      <c r="P78" s="77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07">
        <v>5.22</v>
      </c>
      <c r="Z78" s="106">
        <v>37.674</v>
      </c>
      <c r="AA78" s="110">
        <v>9.374</v>
      </c>
      <c r="AB78" s="109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91">
        <f t="shared" si="16"/>
        <v>52.268</v>
      </c>
      <c r="AK78" s="5">
        <f t="shared" si="17"/>
        <v>12835.417695949514</v>
      </c>
      <c r="AL78" s="5">
        <f t="shared" si="18"/>
        <v>8695.911602037497</v>
      </c>
      <c r="AM78" s="5">
        <f t="shared" si="19"/>
        <v>566.3127418745528</v>
      </c>
    </row>
    <row r="79" spans="1:39" ht="15.75">
      <c r="A79" s="12">
        <v>74</v>
      </c>
      <c r="B79" s="13" t="s">
        <v>108</v>
      </c>
      <c r="C79" s="14">
        <v>1982</v>
      </c>
      <c r="D79" s="14">
        <v>8</v>
      </c>
      <c r="E79" s="14">
        <v>28</v>
      </c>
      <c r="F79" s="14">
        <v>1741.6</v>
      </c>
      <c r="G79" s="8">
        <v>467.6</v>
      </c>
      <c r="H79" s="14">
        <v>1274</v>
      </c>
      <c r="I79" s="14"/>
      <c r="J79" s="14">
        <v>726.1</v>
      </c>
      <c r="K79" s="20">
        <v>1</v>
      </c>
      <c r="L79" s="10">
        <v>5.08</v>
      </c>
      <c r="M79" s="16">
        <f t="shared" si="13"/>
        <v>6471.92</v>
      </c>
      <c r="N79" s="16">
        <f t="shared" si="14"/>
        <v>77663.04000000001</v>
      </c>
      <c r="O79" s="17">
        <f t="shared" si="15"/>
        <v>74051.70864000001</v>
      </c>
      <c r="P79" s="77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278">
        <v>43.733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9">
        <f t="shared" si="16"/>
        <v>43.733</v>
      </c>
      <c r="AK79" s="5">
        <f t="shared" si="17"/>
        <v>13225.750478798764</v>
      </c>
      <c r="AL79" s="5">
        <f t="shared" si="18"/>
        <v>8960.359511364632</v>
      </c>
      <c r="AM79" s="5">
        <f t="shared" si="19"/>
        <v>583.5346534426228</v>
      </c>
    </row>
    <row r="80" spans="1:39" ht="15.75">
      <c r="A80" s="12">
        <v>75</v>
      </c>
      <c r="B80" s="13" t="s">
        <v>109</v>
      </c>
      <c r="C80" s="14">
        <v>1995</v>
      </c>
      <c r="D80" s="14">
        <v>5</v>
      </c>
      <c r="E80" s="14">
        <v>182</v>
      </c>
      <c r="F80" s="14">
        <v>10240.3</v>
      </c>
      <c r="G80" s="8">
        <v>716.7</v>
      </c>
      <c r="H80" s="14">
        <v>9523.6</v>
      </c>
      <c r="I80" s="14"/>
      <c r="J80" s="14">
        <v>5522.6</v>
      </c>
      <c r="K80" s="20">
        <v>14</v>
      </c>
      <c r="L80" s="10">
        <v>5.08</v>
      </c>
      <c r="M80" s="16">
        <f t="shared" si="13"/>
        <v>48379.888</v>
      </c>
      <c r="N80" s="16">
        <f t="shared" si="14"/>
        <v>580558.656</v>
      </c>
      <c r="O80" s="17">
        <f t="shared" si="15"/>
        <v>553562.678496</v>
      </c>
      <c r="P80" s="77">
        <v>0</v>
      </c>
      <c r="Q80" s="18">
        <v>0</v>
      </c>
      <c r="R80" s="18">
        <v>0</v>
      </c>
      <c r="S80" s="97">
        <v>17.013</v>
      </c>
      <c r="T80" s="100">
        <v>6.948</v>
      </c>
      <c r="U80" s="96">
        <f>18.125</f>
        <v>18.125</v>
      </c>
      <c r="V80" s="18">
        <v>0</v>
      </c>
      <c r="W80" s="18">
        <v>0</v>
      </c>
      <c r="X80" s="278">
        <v>15.903</v>
      </c>
      <c r="Y80" s="107">
        <v>1.616</v>
      </c>
      <c r="Z80" s="106">
        <f>40.2722+37.837</f>
        <v>78.1092</v>
      </c>
      <c r="AA80" s="110">
        <v>2.098</v>
      </c>
      <c r="AB80" s="185">
        <v>98.52</v>
      </c>
      <c r="AC80" s="187">
        <f>1.167+2.734</f>
        <v>3.901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91">
        <f t="shared" si="16"/>
        <v>242.2332</v>
      </c>
      <c r="AK80" s="5">
        <f t="shared" si="17"/>
        <v>77765.07385624884</v>
      </c>
      <c r="AL80" s="5">
        <f t="shared" si="18"/>
        <v>52685.329297328455</v>
      </c>
      <c r="AM80" s="5">
        <f t="shared" si="19"/>
        <v>3431.080564795872</v>
      </c>
    </row>
    <row r="81" spans="1:39" ht="15.75">
      <c r="A81" s="12">
        <v>76</v>
      </c>
      <c r="B81" s="13" t="s">
        <v>110</v>
      </c>
      <c r="C81" s="14">
        <v>1974</v>
      </c>
      <c r="D81" s="14">
        <v>5</v>
      </c>
      <c r="E81" s="14">
        <v>60</v>
      </c>
      <c r="F81" s="14">
        <v>2717.6</v>
      </c>
      <c r="G81" s="8">
        <v>0</v>
      </c>
      <c r="H81" s="14">
        <v>2717.6</v>
      </c>
      <c r="I81" s="14"/>
      <c r="J81" s="14">
        <v>1840.5</v>
      </c>
      <c r="K81" s="20">
        <v>4</v>
      </c>
      <c r="L81" s="10">
        <v>5.08</v>
      </c>
      <c r="M81" s="16">
        <f t="shared" si="13"/>
        <v>13805.408</v>
      </c>
      <c r="N81" s="16">
        <f t="shared" si="14"/>
        <v>165664.896</v>
      </c>
      <c r="O81" s="17">
        <f t="shared" si="15"/>
        <v>157961.478336</v>
      </c>
      <c r="P81" s="103">
        <v>16.029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04">
        <v>0.348</v>
      </c>
      <c r="W81" s="18">
        <v>0</v>
      </c>
      <c r="X81" s="18">
        <v>0</v>
      </c>
      <c r="Y81" s="107">
        <v>3.232</v>
      </c>
      <c r="Z81" s="106">
        <v>25.225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91">
        <f t="shared" si="16"/>
        <v>44.834</v>
      </c>
      <c r="AK81" s="5">
        <f t="shared" si="17"/>
        <v>20637.516939126966</v>
      </c>
      <c r="AL81" s="5">
        <f t="shared" si="18"/>
        <v>13981.782848004435</v>
      </c>
      <c r="AM81" s="5">
        <f t="shared" si="19"/>
        <v>910.549939248778</v>
      </c>
    </row>
    <row r="82" spans="1:39" ht="15.75">
      <c r="A82" s="12">
        <v>77</v>
      </c>
      <c r="B82" s="13" t="s">
        <v>111</v>
      </c>
      <c r="C82" s="14">
        <v>1972</v>
      </c>
      <c r="D82" s="14">
        <v>5</v>
      </c>
      <c r="E82" s="14">
        <v>60</v>
      </c>
      <c r="F82" s="14">
        <v>2698.4</v>
      </c>
      <c r="G82" s="8">
        <v>0</v>
      </c>
      <c r="H82" s="14">
        <v>2698.4</v>
      </c>
      <c r="I82" s="14"/>
      <c r="J82" s="14">
        <v>1842.6</v>
      </c>
      <c r="K82" s="20">
        <v>4</v>
      </c>
      <c r="L82" s="10">
        <v>5.08</v>
      </c>
      <c r="M82" s="16">
        <f t="shared" si="13"/>
        <v>13707.872000000001</v>
      </c>
      <c r="N82" s="16">
        <f t="shared" si="14"/>
        <v>164494.464</v>
      </c>
      <c r="O82" s="17">
        <f t="shared" si="15"/>
        <v>156845.47142400002</v>
      </c>
      <c r="P82" s="103">
        <v>20.907</v>
      </c>
      <c r="Q82" s="18">
        <v>0</v>
      </c>
      <c r="R82" s="18">
        <v>0</v>
      </c>
      <c r="S82" s="97">
        <v>14.124</v>
      </c>
      <c r="T82" s="18">
        <v>0</v>
      </c>
      <c r="U82" s="96">
        <f>0.187</f>
        <v>0.187</v>
      </c>
      <c r="V82" s="104">
        <v>0.695</v>
      </c>
      <c r="W82" s="18">
        <v>0</v>
      </c>
      <c r="X82" s="18">
        <v>0</v>
      </c>
      <c r="Y82" s="18">
        <v>0</v>
      </c>
      <c r="Z82" s="106">
        <v>25.225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91">
        <f t="shared" si="16"/>
        <v>61.138</v>
      </c>
      <c r="AK82" s="5">
        <f t="shared" si="17"/>
        <v>20491.711697284445</v>
      </c>
      <c r="AL82" s="5">
        <f t="shared" si="18"/>
        <v>13883.000749578736</v>
      </c>
      <c r="AM82" s="5">
        <f t="shared" si="19"/>
        <v>904.1168516591488</v>
      </c>
    </row>
    <row r="83" spans="1:39" ht="15.75">
      <c r="A83" s="12">
        <v>78</v>
      </c>
      <c r="B83" s="13" t="s">
        <v>112</v>
      </c>
      <c r="C83" s="14">
        <v>1973</v>
      </c>
      <c r="D83" s="14">
        <v>5</v>
      </c>
      <c r="E83" s="14">
        <v>90</v>
      </c>
      <c r="F83" s="14">
        <v>4611.3</v>
      </c>
      <c r="G83" s="8">
        <v>98.4</v>
      </c>
      <c r="H83" s="14">
        <v>4512.9</v>
      </c>
      <c r="I83" s="14"/>
      <c r="J83" s="14">
        <v>3125.3</v>
      </c>
      <c r="K83" s="20">
        <v>6</v>
      </c>
      <c r="L83" s="10">
        <v>5.08</v>
      </c>
      <c r="M83" s="16">
        <f t="shared" si="13"/>
        <v>22925.532</v>
      </c>
      <c r="N83" s="16">
        <f>M83*$N$1</f>
        <v>275106.38399999996</v>
      </c>
      <c r="O83" s="17">
        <f t="shared" si="15"/>
        <v>262313.93714399997</v>
      </c>
      <c r="P83" s="103">
        <v>31.361</v>
      </c>
      <c r="Q83" s="18">
        <v>0</v>
      </c>
      <c r="R83" s="18">
        <v>0</v>
      </c>
      <c r="S83" s="18">
        <v>0</v>
      </c>
      <c r="T83" s="99">
        <f>117.658+221.001+158.79</f>
        <v>497.44899999999996</v>
      </c>
      <c r="U83" s="96">
        <v>1.971</v>
      </c>
      <c r="V83" s="104">
        <v>0.348</v>
      </c>
      <c r="W83" s="18">
        <v>0</v>
      </c>
      <c r="X83" s="18">
        <v>0</v>
      </c>
      <c r="Y83" s="18">
        <v>0</v>
      </c>
      <c r="Z83" s="106">
        <v>37.637</v>
      </c>
      <c r="AA83" s="110">
        <v>92.812</v>
      </c>
      <c r="AB83" s="108">
        <v>0</v>
      </c>
      <c r="AC83" s="186">
        <f>1.752+1.894</f>
        <v>3.646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91">
        <f t="shared" si="16"/>
        <v>665.2239999999998</v>
      </c>
      <c r="AK83" s="5">
        <f t="shared" si="17"/>
        <v>35018.318318146965</v>
      </c>
      <c r="AL83" s="5">
        <f t="shared" si="18"/>
        <v>23724.68179533517</v>
      </c>
      <c r="AM83" s="5">
        <f t="shared" si="19"/>
        <v>1545.0467084404954</v>
      </c>
    </row>
    <row r="84" spans="1:39" ht="15.75">
      <c r="A84" s="12">
        <v>79</v>
      </c>
      <c r="B84" s="13" t="s">
        <v>113</v>
      </c>
      <c r="C84" s="14">
        <v>1957</v>
      </c>
      <c r="D84" s="14">
        <v>1</v>
      </c>
      <c r="E84" s="14">
        <v>2</v>
      </c>
      <c r="F84" s="14">
        <v>80</v>
      </c>
      <c r="G84" s="8">
        <v>0</v>
      </c>
      <c r="H84" s="14">
        <v>80</v>
      </c>
      <c r="I84" s="14"/>
      <c r="J84" s="14">
        <v>80</v>
      </c>
      <c r="K84" s="20">
        <v>1</v>
      </c>
      <c r="L84" s="10">
        <v>5.08</v>
      </c>
      <c r="M84" s="16">
        <f t="shared" si="13"/>
        <v>406.4</v>
      </c>
      <c r="N84" s="16">
        <f t="shared" si="14"/>
        <v>4876.799999999999</v>
      </c>
      <c r="O84" s="17">
        <f t="shared" si="15"/>
        <v>4650.028799999999</v>
      </c>
      <c r="P84" s="77">
        <v>0</v>
      </c>
      <c r="Q84" s="18">
        <v>0</v>
      </c>
      <c r="R84" s="18">
        <v>0</v>
      </c>
      <c r="S84" s="18">
        <v>0</v>
      </c>
      <c r="T84" s="99">
        <v>209.68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91">
        <f t="shared" si="16"/>
        <v>209.68</v>
      </c>
      <c r="AK84" s="5">
        <f t="shared" si="17"/>
        <v>607.5218410105083</v>
      </c>
      <c r="AL84" s="5">
        <f t="shared" si="18"/>
        <v>411.5920767737544</v>
      </c>
      <c r="AM84" s="5">
        <f t="shared" si="19"/>
        <v>26.804531623455343</v>
      </c>
    </row>
    <row r="85" spans="1:36" s="55" customFormat="1" ht="15.75">
      <c r="A85" s="45">
        <v>80</v>
      </c>
      <c r="B85" s="66" t="s">
        <v>114</v>
      </c>
      <c r="C85" s="67">
        <v>1963</v>
      </c>
      <c r="D85" s="67">
        <v>1</v>
      </c>
      <c r="E85" s="67">
        <v>4</v>
      </c>
      <c r="F85" s="67">
        <v>90</v>
      </c>
      <c r="G85" s="48"/>
      <c r="H85" s="67">
        <f>90-I85</f>
        <v>49.9</v>
      </c>
      <c r="I85" s="67">
        <f>20.1+20</f>
        <v>40.1</v>
      </c>
      <c r="J85" s="67"/>
      <c r="K85" s="66">
        <v>4</v>
      </c>
      <c r="L85" s="50">
        <v>5.08</v>
      </c>
      <c r="M85" s="51">
        <f t="shared" si="13"/>
        <v>253.492</v>
      </c>
      <c r="N85" s="51">
        <f t="shared" si="14"/>
        <v>3041.904</v>
      </c>
      <c r="O85" s="52">
        <f t="shared" si="15"/>
        <v>2900.455464</v>
      </c>
      <c r="P85" s="79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4">
        <f t="shared" si="16"/>
        <v>0</v>
      </c>
    </row>
    <row r="86" spans="1:36" s="301" customFormat="1" ht="15.75">
      <c r="A86" s="295">
        <v>81</v>
      </c>
      <c r="B86" s="304" t="s">
        <v>115</v>
      </c>
      <c r="C86" s="305">
        <v>1957</v>
      </c>
      <c r="D86" s="305">
        <v>1</v>
      </c>
      <c r="E86" s="305">
        <v>2</v>
      </c>
      <c r="F86" s="305">
        <v>66.6</v>
      </c>
      <c r="G86" s="305"/>
      <c r="H86" s="305">
        <v>66.6</v>
      </c>
      <c r="I86" s="305"/>
      <c r="J86" s="305"/>
      <c r="K86" s="304">
        <v>1</v>
      </c>
      <c r="L86" s="190">
        <v>5.08</v>
      </c>
      <c r="M86" s="297">
        <f t="shared" si="13"/>
        <v>338.328</v>
      </c>
      <c r="N86" s="297">
        <f t="shared" si="14"/>
        <v>4059.9359999999997</v>
      </c>
      <c r="O86" s="298">
        <f t="shared" si="15"/>
        <v>3871.148976</v>
      </c>
      <c r="P86" s="102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302">
        <f t="shared" si="16"/>
        <v>0</v>
      </c>
    </row>
    <row r="87" spans="1:36" s="301" customFormat="1" ht="15.75">
      <c r="A87" s="295">
        <v>82</v>
      </c>
      <c r="B87" s="296" t="s">
        <v>116</v>
      </c>
      <c r="C87" s="306">
        <v>1957</v>
      </c>
      <c r="D87" s="306">
        <v>1</v>
      </c>
      <c r="E87" s="306">
        <v>2</v>
      </c>
      <c r="F87" s="306">
        <v>69.2</v>
      </c>
      <c r="G87" s="307">
        <v>0</v>
      </c>
      <c r="H87" s="306">
        <v>69.2</v>
      </c>
      <c r="I87" s="306"/>
      <c r="J87" s="306">
        <v>52.2</v>
      </c>
      <c r="K87" s="304">
        <v>1</v>
      </c>
      <c r="L87" s="190">
        <v>5.08</v>
      </c>
      <c r="M87" s="297">
        <f t="shared" si="13"/>
        <v>351.536</v>
      </c>
      <c r="N87" s="297">
        <f t="shared" si="14"/>
        <v>4218.432</v>
      </c>
      <c r="O87" s="298">
        <f t="shared" si="15"/>
        <v>4022.274912</v>
      </c>
      <c r="P87" s="102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302">
        <f t="shared" si="16"/>
        <v>0</v>
      </c>
    </row>
    <row r="88" spans="1:36" s="301" customFormat="1" ht="15.75">
      <c r="A88" s="295">
        <v>83</v>
      </c>
      <c r="B88" s="304" t="s">
        <v>117</v>
      </c>
      <c r="C88" s="305">
        <v>1957</v>
      </c>
      <c r="D88" s="305">
        <v>1</v>
      </c>
      <c r="E88" s="305">
        <v>2</v>
      </c>
      <c r="F88" s="305">
        <v>101.6</v>
      </c>
      <c r="G88" s="307"/>
      <c r="H88" s="305">
        <v>69.6</v>
      </c>
      <c r="I88" s="305"/>
      <c r="J88" s="305"/>
      <c r="K88" s="304">
        <v>1</v>
      </c>
      <c r="L88" s="190">
        <v>5.08</v>
      </c>
      <c r="M88" s="297">
        <f t="shared" si="13"/>
        <v>353.568</v>
      </c>
      <c r="N88" s="297">
        <f t="shared" si="14"/>
        <v>4242.816</v>
      </c>
      <c r="O88" s="298">
        <f t="shared" si="15"/>
        <v>4045.525056</v>
      </c>
      <c r="P88" s="102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302">
        <f t="shared" si="16"/>
        <v>0</v>
      </c>
    </row>
    <row r="89" spans="1:36" s="301" customFormat="1" ht="15.75">
      <c r="A89" s="295">
        <v>84</v>
      </c>
      <c r="B89" s="304" t="s">
        <v>118</v>
      </c>
      <c r="C89" s="305">
        <v>1957</v>
      </c>
      <c r="D89" s="305">
        <v>1</v>
      </c>
      <c r="E89" s="305">
        <v>2</v>
      </c>
      <c r="F89" s="305">
        <v>108.3</v>
      </c>
      <c r="G89" s="307"/>
      <c r="H89" s="305">
        <v>108.3</v>
      </c>
      <c r="I89" s="305"/>
      <c r="J89" s="305"/>
      <c r="K89" s="304">
        <v>1</v>
      </c>
      <c r="L89" s="190">
        <v>5.08</v>
      </c>
      <c r="M89" s="297">
        <f t="shared" si="13"/>
        <v>550.164</v>
      </c>
      <c r="N89" s="297">
        <f>M89*$N$1</f>
        <v>6601.968</v>
      </c>
      <c r="O89" s="298">
        <f t="shared" si="15"/>
        <v>6294.976488</v>
      </c>
      <c r="P89" s="102">
        <v>0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302">
        <f t="shared" si="16"/>
        <v>0</v>
      </c>
    </row>
    <row r="90" spans="1:36" s="301" customFormat="1" ht="15.75">
      <c r="A90" s="295">
        <v>85</v>
      </c>
      <c r="B90" s="296" t="s">
        <v>119</v>
      </c>
      <c r="C90" s="306">
        <v>1957</v>
      </c>
      <c r="D90" s="306">
        <v>1</v>
      </c>
      <c r="E90" s="306">
        <v>2</v>
      </c>
      <c r="F90" s="306">
        <v>118</v>
      </c>
      <c r="G90" s="307">
        <v>0</v>
      </c>
      <c r="H90" s="306">
        <v>118</v>
      </c>
      <c r="I90" s="306"/>
      <c r="J90" s="306">
        <v>63.2</v>
      </c>
      <c r="K90" s="304">
        <v>1</v>
      </c>
      <c r="L90" s="190">
        <v>5.08</v>
      </c>
      <c r="M90" s="297">
        <f t="shared" si="13"/>
        <v>599.44</v>
      </c>
      <c r="N90" s="297">
        <f t="shared" si="14"/>
        <v>7193.280000000001</v>
      </c>
      <c r="O90" s="298">
        <f t="shared" si="15"/>
        <v>6858.792480000001</v>
      </c>
      <c r="P90" s="102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302">
        <f t="shared" si="16"/>
        <v>0</v>
      </c>
    </row>
    <row r="91" spans="1:36" s="301" customFormat="1" ht="15.75">
      <c r="A91" s="295">
        <v>86</v>
      </c>
      <c r="B91" s="296" t="s">
        <v>120</v>
      </c>
      <c r="C91" s="306">
        <v>1957</v>
      </c>
      <c r="D91" s="306">
        <v>1</v>
      </c>
      <c r="E91" s="306">
        <v>2</v>
      </c>
      <c r="F91" s="306">
        <v>70</v>
      </c>
      <c r="G91" s="307">
        <v>0</v>
      </c>
      <c r="H91" s="306">
        <v>70</v>
      </c>
      <c r="I91" s="306"/>
      <c r="J91" s="306">
        <v>53.7</v>
      </c>
      <c r="K91" s="304">
        <v>1</v>
      </c>
      <c r="L91" s="190">
        <v>5.08</v>
      </c>
      <c r="M91" s="297">
        <f t="shared" si="13"/>
        <v>355.6</v>
      </c>
      <c r="N91" s="297">
        <f t="shared" si="14"/>
        <v>4267.200000000001</v>
      </c>
      <c r="O91" s="298">
        <f t="shared" si="15"/>
        <v>4068.775200000001</v>
      </c>
      <c r="P91" s="102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302">
        <f t="shared" si="16"/>
        <v>0</v>
      </c>
    </row>
    <row r="92" spans="1:36" s="301" customFormat="1" ht="15.75">
      <c r="A92" s="295">
        <v>87</v>
      </c>
      <c r="B92" s="296" t="s">
        <v>121</v>
      </c>
      <c r="C92" s="306">
        <v>1957</v>
      </c>
      <c r="D92" s="306">
        <v>1</v>
      </c>
      <c r="E92" s="306">
        <v>2</v>
      </c>
      <c r="F92" s="306">
        <v>90.6</v>
      </c>
      <c r="G92" s="307">
        <v>0</v>
      </c>
      <c r="H92" s="306">
        <v>90.6</v>
      </c>
      <c r="I92" s="306"/>
      <c r="J92" s="306">
        <v>64.1</v>
      </c>
      <c r="K92" s="304">
        <v>1</v>
      </c>
      <c r="L92" s="190">
        <v>5.08</v>
      </c>
      <c r="M92" s="297">
        <f t="shared" si="13"/>
        <v>460.248</v>
      </c>
      <c r="N92" s="297">
        <f t="shared" si="14"/>
        <v>5522.976</v>
      </c>
      <c r="O92" s="298">
        <f t="shared" si="15"/>
        <v>5266.1576159999995</v>
      </c>
      <c r="P92" s="102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302">
        <f t="shared" si="16"/>
        <v>0</v>
      </c>
    </row>
    <row r="93" spans="1:36" s="55" customFormat="1" ht="15.75">
      <c r="A93" s="45">
        <v>88</v>
      </c>
      <c r="B93" s="46" t="s">
        <v>122</v>
      </c>
      <c r="C93" s="47">
        <v>1957</v>
      </c>
      <c r="D93" s="47">
        <v>1</v>
      </c>
      <c r="E93" s="47">
        <v>2</v>
      </c>
      <c r="F93" s="47">
        <v>94.7</v>
      </c>
      <c r="G93" s="48">
        <v>0</v>
      </c>
      <c r="H93" s="47">
        <f>94.7-I93</f>
        <v>0.519999999999996</v>
      </c>
      <c r="I93" s="47">
        <f>35.68+58.5</f>
        <v>94.18</v>
      </c>
      <c r="J93" s="47">
        <v>67.1</v>
      </c>
      <c r="K93" s="66">
        <v>1</v>
      </c>
      <c r="L93" s="50">
        <v>5.08</v>
      </c>
      <c r="M93" s="51">
        <f t="shared" si="13"/>
        <v>2.64159999999998</v>
      </c>
      <c r="N93" s="51">
        <f t="shared" si="14"/>
        <v>31.69919999999976</v>
      </c>
      <c r="O93" s="52">
        <f t="shared" si="15"/>
        <v>30.22518719999977</v>
      </c>
      <c r="P93" s="79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4">
        <f t="shared" si="16"/>
        <v>0</v>
      </c>
    </row>
    <row r="94" spans="1:36" s="301" customFormat="1" ht="15.75">
      <c r="A94" s="295">
        <v>89</v>
      </c>
      <c r="B94" s="296" t="s">
        <v>123</v>
      </c>
      <c r="C94" s="306">
        <v>1957</v>
      </c>
      <c r="D94" s="306">
        <v>1</v>
      </c>
      <c r="E94" s="306">
        <v>2</v>
      </c>
      <c r="F94" s="306">
        <v>67.8</v>
      </c>
      <c r="G94" s="307">
        <v>0</v>
      </c>
      <c r="H94" s="306">
        <v>67.8</v>
      </c>
      <c r="I94" s="306"/>
      <c r="J94" s="306">
        <v>52.1</v>
      </c>
      <c r="K94" s="304">
        <v>1</v>
      </c>
      <c r="L94" s="190">
        <v>5.08</v>
      </c>
      <c r="M94" s="297">
        <f t="shared" si="13"/>
        <v>344.424</v>
      </c>
      <c r="N94" s="297">
        <f>M94*$N$1</f>
        <v>4133.088</v>
      </c>
      <c r="O94" s="298">
        <f t="shared" si="15"/>
        <v>3940.8994079999998</v>
      </c>
      <c r="P94" s="102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302">
        <f t="shared" si="16"/>
        <v>0</v>
      </c>
    </row>
    <row r="95" spans="1:36" s="301" customFormat="1" ht="15.75">
      <c r="A95" s="295">
        <v>90</v>
      </c>
      <c r="B95" s="304" t="s">
        <v>124</v>
      </c>
      <c r="C95" s="305">
        <v>1957</v>
      </c>
      <c r="D95" s="305">
        <v>1</v>
      </c>
      <c r="E95" s="305">
        <v>2</v>
      </c>
      <c r="F95" s="305">
        <v>155.7</v>
      </c>
      <c r="G95" s="305"/>
      <c r="H95" s="305">
        <v>155.7</v>
      </c>
      <c r="I95" s="305"/>
      <c r="J95" s="305"/>
      <c r="K95" s="304">
        <v>1</v>
      </c>
      <c r="L95" s="190">
        <v>5.08</v>
      </c>
      <c r="M95" s="297">
        <f t="shared" si="13"/>
        <v>790.9559999999999</v>
      </c>
      <c r="N95" s="297">
        <f t="shared" si="14"/>
        <v>9491.471999999998</v>
      </c>
      <c r="O95" s="298">
        <f t="shared" si="15"/>
        <v>9050.118551999998</v>
      </c>
      <c r="P95" s="102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302">
        <f>SUM(P95,Q95,R95,S95,T95,U95,V95,W95,X95,Y95,Z95,AA95,AB95,AC95,AD95,AE95,AF95,AG95,AH95,AI95)</f>
        <v>0</v>
      </c>
    </row>
    <row r="96" spans="1:36" s="301" customFormat="1" ht="15.75">
      <c r="A96" s="295">
        <v>91</v>
      </c>
      <c r="B96" s="304" t="s">
        <v>125</v>
      </c>
      <c r="C96" s="305">
        <v>1909</v>
      </c>
      <c r="D96" s="305">
        <v>1</v>
      </c>
      <c r="E96" s="305">
        <v>4</v>
      </c>
      <c r="F96" s="305">
        <v>187.1</v>
      </c>
      <c r="G96" s="305"/>
      <c r="H96" s="305">
        <v>187.1</v>
      </c>
      <c r="I96" s="305"/>
      <c r="J96" s="305"/>
      <c r="K96" s="304">
        <v>1</v>
      </c>
      <c r="L96" s="190">
        <v>5.08</v>
      </c>
      <c r="M96" s="297">
        <f t="shared" si="13"/>
        <v>950.468</v>
      </c>
      <c r="N96" s="297">
        <f t="shared" si="14"/>
        <v>11405.616</v>
      </c>
      <c r="O96" s="298">
        <f t="shared" si="15"/>
        <v>10875.254856</v>
      </c>
      <c r="P96" s="102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v>0</v>
      </c>
      <c r="W96" s="101">
        <v>0</v>
      </c>
      <c r="X96" s="101">
        <v>0</v>
      </c>
      <c r="Y96" s="101">
        <v>0</v>
      </c>
      <c r="Z96" s="101">
        <v>0</v>
      </c>
      <c r="AA96" s="101">
        <v>0</v>
      </c>
      <c r="AB96" s="101">
        <v>0</v>
      </c>
      <c r="AC96" s="101">
        <v>0</v>
      </c>
      <c r="AD96" s="101">
        <v>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302">
        <f t="shared" si="16"/>
        <v>0</v>
      </c>
    </row>
    <row r="97" spans="1:36" s="65" customFormat="1" ht="15.75">
      <c r="A97" s="56">
        <v>92</v>
      </c>
      <c r="B97" s="57" t="s">
        <v>126</v>
      </c>
      <c r="C97" s="58">
        <v>1955</v>
      </c>
      <c r="D97" s="58">
        <v>1</v>
      </c>
      <c r="E97" s="58">
        <v>3</v>
      </c>
      <c r="F97" s="58">
        <v>135.7</v>
      </c>
      <c r="G97" s="58"/>
      <c r="H97" s="58">
        <f>135.7*0</f>
        <v>0</v>
      </c>
      <c r="I97" s="58"/>
      <c r="J97" s="58"/>
      <c r="K97" s="57">
        <v>1</v>
      </c>
      <c r="L97" s="60" t="s">
        <v>336</v>
      </c>
      <c r="M97" s="61">
        <v>0</v>
      </c>
      <c r="N97" s="61">
        <v>0</v>
      </c>
      <c r="O97" s="62">
        <f t="shared" si="15"/>
        <v>0</v>
      </c>
      <c r="P97" s="78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1.218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4">
        <f t="shared" si="16"/>
        <v>1.218</v>
      </c>
    </row>
    <row r="98" spans="1:36" s="55" customFormat="1" ht="15.75">
      <c r="A98" s="45">
        <v>93</v>
      </c>
      <c r="B98" s="66" t="s">
        <v>127</v>
      </c>
      <c r="C98" s="67">
        <v>1917</v>
      </c>
      <c r="D98" s="67">
        <v>2</v>
      </c>
      <c r="E98" s="67">
        <v>8</v>
      </c>
      <c r="F98" s="67">
        <v>375</v>
      </c>
      <c r="G98" s="48"/>
      <c r="H98" s="67">
        <f>375-I98</f>
        <v>213.16</v>
      </c>
      <c r="I98" s="67">
        <f>106.76+55.08</f>
        <v>161.84</v>
      </c>
      <c r="J98" s="67"/>
      <c r="K98" s="66">
        <v>2</v>
      </c>
      <c r="L98" s="50">
        <v>5.08</v>
      </c>
      <c r="M98" s="51">
        <f t="shared" si="13"/>
        <v>1082.8528</v>
      </c>
      <c r="N98" s="51">
        <f t="shared" si="14"/>
        <v>12994.2336</v>
      </c>
      <c r="O98" s="52">
        <f t="shared" si="15"/>
        <v>12390.0017376</v>
      </c>
      <c r="P98" s="79">
        <v>0</v>
      </c>
      <c r="Q98" s="142">
        <v>5.685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107">
        <v>1.218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4">
        <f t="shared" si="16"/>
        <v>6.903</v>
      </c>
    </row>
    <row r="99" spans="1:39" s="72" customFormat="1" ht="15.75">
      <c r="A99" s="68">
        <v>94</v>
      </c>
      <c r="B99" s="27" t="s">
        <v>128</v>
      </c>
      <c r="C99" s="28">
        <v>1956</v>
      </c>
      <c r="D99" s="28">
        <v>1</v>
      </c>
      <c r="E99" s="28">
        <v>12</v>
      </c>
      <c r="F99" s="28">
        <v>607.3</v>
      </c>
      <c r="G99" s="29">
        <v>0</v>
      </c>
      <c r="H99" s="28">
        <v>607.3</v>
      </c>
      <c r="I99" s="28"/>
      <c r="J99" s="28">
        <v>381.6</v>
      </c>
      <c r="K99" s="22">
        <v>2</v>
      </c>
      <c r="L99" s="23">
        <v>5.08</v>
      </c>
      <c r="M99" s="69">
        <f t="shared" si="13"/>
        <v>3085.084</v>
      </c>
      <c r="N99" s="69">
        <f t="shared" si="14"/>
        <v>37021.008</v>
      </c>
      <c r="O99" s="70">
        <f t="shared" si="15"/>
        <v>35299.531128</v>
      </c>
      <c r="P99" s="80">
        <v>0</v>
      </c>
      <c r="Q99" s="71">
        <v>0</v>
      </c>
      <c r="R99" s="71">
        <v>0</v>
      </c>
      <c r="S99" s="97">
        <v>2.515</v>
      </c>
      <c r="T99" s="99">
        <v>168.771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110">
        <v>32.699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191">
        <f t="shared" si="16"/>
        <v>203.98499999999996</v>
      </c>
      <c r="AK99" s="5">
        <f>4963963*F99/653667.1</f>
        <v>4611.85017557102</v>
      </c>
      <c r="AL99" s="5">
        <f>3362538*F99/653567.1</f>
        <v>3124.498352808763</v>
      </c>
      <c r="AM99" s="5">
        <f>218982*F99/653567.1</f>
        <v>203.47990068655537</v>
      </c>
    </row>
    <row r="100" spans="1:39" ht="15.75">
      <c r="A100" s="12">
        <v>95</v>
      </c>
      <c r="B100" s="13" t="s">
        <v>129</v>
      </c>
      <c r="C100" s="14">
        <v>1960</v>
      </c>
      <c r="D100" s="14">
        <v>2</v>
      </c>
      <c r="E100" s="14">
        <v>12</v>
      </c>
      <c r="F100" s="14">
        <v>449.3</v>
      </c>
      <c r="G100" s="8">
        <v>0</v>
      </c>
      <c r="H100" s="14">
        <v>449.3</v>
      </c>
      <c r="I100" s="14"/>
      <c r="J100" s="14">
        <v>289.5</v>
      </c>
      <c r="K100" s="20">
        <v>2</v>
      </c>
      <c r="L100" s="10">
        <v>5.08</v>
      </c>
      <c r="M100" s="16">
        <f t="shared" si="13"/>
        <v>2282.444</v>
      </c>
      <c r="N100" s="16">
        <f t="shared" si="14"/>
        <v>27389.328</v>
      </c>
      <c r="O100" s="17">
        <f t="shared" si="15"/>
        <v>26115.724248000002</v>
      </c>
      <c r="P100" s="103">
        <v>4.871</v>
      </c>
      <c r="Q100" s="142">
        <v>2.437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91">
        <f t="shared" si="16"/>
        <v>7.308</v>
      </c>
      <c r="AK100" s="5">
        <f>4963963*F100/653667.1</f>
        <v>3411.994539575267</v>
      </c>
      <c r="AL100" s="5">
        <f>3362538*F100/653567.1</f>
        <v>2311.604001180598</v>
      </c>
      <c r="AM100" s="5">
        <f>218982*F100/653567.1</f>
        <v>150.5409507302311</v>
      </c>
    </row>
    <row r="101" spans="1:36" s="93" customFormat="1" ht="15.75">
      <c r="A101" s="82">
        <v>96</v>
      </c>
      <c r="B101" s="94" t="s">
        <v>130</v>
      </c>
      <c r="C101" s="95" t="s">
        <v>131</v>
      </c>
      <c r="D101" s="95">
        <v>2</v>
      </c>
      <c r="E101" s="95">
        <v>8</v>
      </c>
      <c r="F101" s="95">
        <v>286.4</v>
      </c>
      <c r="G101" s="85"/>
      <c r="H101" s="95">
        <f>286.4-I101</f>
        <v>246.49999999999997</v>
      </c>
      <c r="I101" s="95">
        <f>39.9</f>
        <v>39.9</v>
      </c>
      <c r="J101" s="95"/>
      <c r="K101" s="94">
        <v>1</v>
      </c>
      <c r="L101" s="87">
        <v>5.08</v>
      </c>
      <c r="M101" s="88">
        <f t="shared" si="13"/>
        <v>1252.2199999999998</v>
      </c>
      <c r="N101" s="88">
        <f t="shared" si="14"/>
        <v>15026.639999999998</v>
      </c>
      <c r="O101" s="89">
        <f t="shared" si="15"/>
        <v>14327.901239999997</v>
      </c>
      <c r="P101" s="90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  <c r="AC101" s="91">
        <v>0</v>
      </c>
      <c r="AD101" s="91">
        <v>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2">
        <f t="shared" si="16"/>
        <v>0</v>
      </c>
    </row>
    <row r="102" spans="1:39" ht="15.75">
      <c r="A102" s="12">
        <v>97</v>
      </c>
      <c r="B102" s="13" t="s">
        <v>132</v>
      </c>
      <c r="C102" s="14" t="s">
        <v>71</v>
      </c>
      <c r="D102" s="14">
        <v>2</v>
      </c>
      <c r="E102" s="14">
        <v>16</v>
      </c>
      <c r="F102" s="14">
        <v>630.6</v>
      </c>
      <c r="G102" s="8">
        <v>0</v>
      </c>
      <c r="H102" s="14">
        <v>630.6</v>
      </c>
      <c r="I102" s="14"/>
      <c r="J102" s="14">
        <v>443.8</v>
      </c>
      <c r="K102" s="20">
        <v>2</v>
      </c>
      <c r="L102" s="10">
        <v>5.08</v>
      </c>
      <c r="M102" s="16">
        <f t="shared" si="13"/>
        <v>3203.4480000000003</v>
      </c>
      <c r="N102" s="16">
        <f>M102*$N$1</f>
        <v>38441.376000000004</v>
      </c>
      <c r="O102" s="17">
        <f t="shared" si="15"/>
        <v>36653.852016000004</v>
      </c>
      <c r="P102" s="103">
        <f>3.588+2.996</f>
        <v>6.584</v>
      </c>
      <c r="Q102" s="18">
        <v>0</v>
      </c>
      <c r="R102" s="18">
        <v>0</v>
      </c>
      <c r="S102" s="97">
        <f>1.323+29.27</f>
        <v>30.593</v>
      </c>
      <c r="T102" s="99">
        <f>120.157+0.993+1.107</f>
        <v>122.25699999999999</v>
      </c>
      <c r="U102" s="96">
        <f>52.4309</f>
        <v>52.4309</v>
      </c>
      <c r="V102" s="18">
        <v>0</v>
      </c>
      <c r="W102" s="18">
        <v>0</v>
      </c>
      <c r="X102" s="18">
        <v>0</v>
      </c>
      <c r="Y102" s="107">
        <v>5.542</v>
      </c>
      <c r="Z102" s="18">
        <v>0</v>
      </c>
      <c r="AA102" s="110">
        <v>0.366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91">
        <f t="shared" si="16"/>
        <v>217.77290000000002</v>
      </c>
      <c r="AK102" s="5">
        <f>4963963*F102/653667.1</f>
        <v>4788.790911765332</v>
      </c>
      <c r="AL102" s="5">
        <f>3362538*F102/653567.1</f>
        <v>3244.3745451691193</v>
      </c>
      <c r="AM102" s="5">
        <f>218982*F102/653567.1</f>
        <v>211.28672052188676</v>
      </c>
    </row>
    <row r="103" spans="1:39" ht="15.75">
      <c r="A103" s="12">
        <v>98</v>
      </c>
      <c r="B103" s="13" t="s">
        <v>133</v>
      </c>
      <c r="C103" s="14" t="s">
        <v>30</v>
      </c>
      <c r="D103" s="14">
        <v>3</v>
      </c>
      <c r="E103" s="14">
        <v>12</v>
      </c>
      <c r="F103" s="14">
        <v>594.6</v>
      </c>
      <c r="G103" s="8">
        <v>0</v>
      </c>
      <c r="H103" s="14">
        <v>594.6</v>
      </c>
      <c r="I103" s="14"/>
      <c r="J103" s="14">
        <v>353.1</v>
      </c>
      <c r="K103" s="20">
        <v>1</v>
      </c>
      <c r="L103" s="10">
        <v>5.08</v>
      </c>
      <c r="M103" s="16">
        <f t="shared" si="13"/>
        <v>3020.568</v>
      </c>
      <c r="N103" s="16">
        <f t="shared" si="14"/>
        <v>36246.816000000006</v>
      </c>
      <c r="O103" s="17">
        <f t="shared" si="15"/>
        <v>34561.339056000004</v>
      </c>
      <c r="P103" s="77">
        <v>0</v>
      </c>
      <c r="Q103" s="18">
        <v>0</v>
      </c>
      <c r="R103" s="18">
        <v>0</v>
      </c>
      <c r="S103" s="18">
        <v>0</v>
      </c>
      <c r="T103" s="101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9">
        <f t="shared" si="16"/>
        <v>0</v>
      </c>
      <c r="AK103" s="5">
        <f>4963963*F103/653667.1</f>
        <v>4515.406083310603</v>
      </c>
      <c r="AL103" s="5">
        <f>3362538*F103/653567.1</f>
        <v>3059.1581106209296</v>
      </c>
      <c r="AM103" s="5">
        <f>218982*F103/653567.1</f>
        <v>199.22468129133185</v>
      </c>
    </row>
    <row r="104" spans="1:39" ht="15.75">
      <c r="A104" s="12">
        <v>99</v>
      </c>
      <c r="B104" s="13" t="s">
        <v>134</v>
      </c>
      <c r="C104" s="14">
        <v>1959</v>
      </c>
      <c r="D104" s="14">
        <v>2</v>
      </c>
      <c r="E104" s="14">
        <v>8</v>
      </c>
      <c r="F104" s="14">
        <v>276.8</v>
      </c>
      <c r="G104" s="8">
        <v>0</v>
      </c>
      <c r="H104" s="14">
        <v>276.8</v>
      </c>
      <c r="I104" s="14"/>
      <c r="J104" s="14">
        <v>190.1</v>
      </c>
      <c r="K104" s="20">
        <v>1</v>
      </c>
      <c r="L104" s="10">
        <v>5.08</v>
      </c>
      <c r="M104" s="16">
        <f t="shared" si="13"/>
        <v>1406.144</v>
      </c>
      <c r="N104" s="16">
        <f t="shared" si="14"/>
        <v>16873.728</v>
      </c>
      <c r="O104" s="17">
        <f t="shared" si="15"/>
        <v>16089.099648</v>
      </c>
      <c r="P104" s="77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9">
        <f t="shared" si="16"/>
        <v>0</v>
      </c>
      <c r="AK104" s="5">
        <f>4963963*F104/653667.1</f>
        <v>2102.025569896359</v>
      </c>
      <c r="AL104" s="5">
        <f>3362538*F104/653567.1</f>
        <v>1424.1085856371903</v>
      </c>
      <c r="AM104" s="5">
        <f>218982*F104/653567.1</f>
        <v>92.74367941715549</v>
      </c>
    </row>
    <row r="105" spans="1:36" s="93" customFormat="1" ht="15.75">
      <c r="A105" s="82">
        <v>100</v>
      </c>
      <c r="B105" s="94" t="s">
        <v>135</v>
      </c>
      <c r="C105" s="95">
        <v>1914</v>
      </c>
      <c r="D105" s="95">
        <v>2</v>
      </c>
      <c r="E105" s="95">
        <v>4</v>
      </c>
      <c r="F105" s="95">
        <v>235.3</v>
      </c>
      <c r="G105" s="95"/>
      <c r="H105" s="95">
        <f>235.3-I105</f>
        <v>147.8</v>
      </c>
      <c r="I105" s="95">
        <f>87.5</f>
        <v>87.5</v>
      </c>
      <c r="J105" s="95"/>
      <c r="K105" s="94">
        <v>1</v>
      </c>
      <c r="L105" s="87">
        <v>5.08</v>
      </c>
      <c r="M105" s="88">
        <f t="shared" si="13"/>
        <v>750.8240000000001</v>
      </c>
      <c r="N105" s="88">
        <f t="shared" si="14"/>
        <v>9009.888</v>
      </c>
      <c r="O105" s="89">
        <f t="shared" si="15"/>
        <v>8590.928208000001</v>
      </c>
      <c r="P105" s="90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2">
        <f t="shared" si="16"/>
        <v>0</v>
      </c>
    </row>
    <row r="106" spans="1:36" s="301" customFormat="1" ht="15.75">
      <c r="A106" s="295">
        <v>101</v>
      </c>
      <c r="B106" s="296" t="s">
        <v>136</v>
      </c>
      <c r="C106" s="306">
        <v>1957</v>
      </c>
      <c r="D106" s="306">
        <v>1</v>
      </c>
      <c r="E106" s="306">
        <v>2</v>
      </c>
      <c r="F106" s="306">
        <v>88.5</v>
      </c>
      <c r="G106" s="307">
        <v>0</v>
      </c>
      <c r="H106" s="306">
        <v>88.5</v>
      </c>
      <c r="I106" s="306"/>
      <c r="J106" s="306">
        <v>55.7</v>
      </c>
      <c r="K106" s="304">
        <v>1</v>
      </c>
      <c r="L106" s="190">
        <v>5.08</v>
      </c>
      <c r="M106" s="297">
        <f t="shared" si="13"/>
        <v>449.58</v>
      </c>
      <c r="N106" s="297">
        <f t="shared" si="14"/>
        <v>5394.96</v>
      </c>
      <c r="O106" s="298">
        <f t="shared" si="15"/>
        <v>5144.09436</v>
      </c>
      <c r="P106" s="102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01">
        <v>0</v>
      </c>
      <c r="AG106" s="101">
        <v>0</v>
      </c>
      <c r="AH106" s="101">
        <v>0</v>
      </c>
      <c r="AI106" s="101">
        <v>0</v>
      </c>
      <c r="AJ106" s="302">
        <f t="shared" si="16"/>
        <v>0</v>
      </c>
    </row>
    <row r="107" spans="1:36" s="301" customFormat="1" ht="15.75">
      <c r="A107" s="295">
        <v>102</v>
      </c>
      <c r="B107" s="304" t="s">
        <v>137</v>
      </c>
      <c r="C107" s="305">
        <v>1917</v>
      </c>
      <c r="D107" s="305">
        <v>2</v>
      </c>
      <c r="E107" s="305">
        <v>8</v>
      </c>
      <c r="F107" s="305">
        <v>284.6</v>
      </c>
      <c r="G107" s="307"/>
      <c r="H107" s="305">
        <v>284.6</v>
      </c>
      <c r="I107" s="305"/>
      <c r="J107" s="305"/>
      <c r="K107" s="304">
        <v>1</v>
      </c>
      <c r="L107" s="190">
        <v>5.08</v>
      </c>
      <c r="M107" s="297">
        <f t="shared" si="13"/>
        <v>1445.768</v>
      </c>
      <c r="N107" s="297">
        <f>M107*$N$1</f>
        <v>17349.216</v>
      </c>
      <c r="O107" s="298">
        <f t="shared" si="15"/>
        <v>16542.477456</v>
      </c>
      <c r="P107" s="102">
        <v>0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01">
        <v>0</v>
      </c>
      <c r="W107" s="101">
        <v>0</v>
      </c>
      <c r="X107" s="101">
        <v>0</v>
      </c>
      <c r="Y107" s="101">
        <v>0</v>
      </c>
      <c r="Z107" s="101">
        <v>0</v>
      </c>
      <c r="AA107" s="101">
        <v>0</v>
      </c>
      <c r="AB107" s="101">
        <v>0</v>
      </c>
      <c r="AC107" s="101">
        <v>0</v>
      </c>
      <c r="AD107" s="101">
        <v>0</v>
      </c>
      <c r="AE107" s="101">
        <v>0</v>
      </c>
      <c r="AF107" s="101">
        <v>0</v>
      </c>
      <c r="AG107" s="101">
        <v>0</v>
      </c>
      <c r="AH107" s="101">
        <v>0</v>
      </c>
      <c r="AI107" s="101">
        <v>0</v>
      </c>
      <c r="AJ107" s="302">
        <f t="shared" si="16"/>
        <v>0</v>
      </c>
    </row>
    <row r="108" spans="1:36" s="65" customFormat="1" ht="15.75">
      <c r="A108" s="56">
        <v>103</v>
      </c>
      <c r="B108" s="57" t="s">
        <v>138</v>
      </c>
      <c r="C108" s="58">
        <v>1917</v>
      </c>
      <c r="D108" s="58">
        <v>2</v>
      </c>
      <c r="E108" s="58">
        <v>4</v>
      </c>
      <c r="F108" s="58">
        <v>117.9</v>
      </c>
      <c r="G108" s="59"/>
      <c r="H108" s="58">
        <f>117.9*0</f>
        <v>0</v>
      </c>
      <c r="I108" s="58"/>
      <c r="J108" s="58"/>
      <c r="K108" s="57">
        <v>1</v>
      </c>
      <c r="L108" s="60" t="s">
        <v>336</v>
      </c>
      <c r="M108" s="61">
        <v>0</v>
      </c>
      <c r="N108" s="61">
        <v>0</v>
      </c>
      <c r="O108" s="62">
        <f t="shared" si="15"/>
        <v>0</v>
      </c>
      <c r="P108" s="78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4">
        <f t="shared" si="16"/>
        <v>0</v>
      </c>
    </row>
    <row r="109" spans="1:36" s="55" customFormat="1" ht="15.75">
      <c r="A109" s="45">
        <v>104</v>
      </c>
      <c r="B109" s="66" t="s">
        <v>139</v>
      </c>
      <c r="C109" s="67">
        <v>1917</v>
      </c>
      <c r="D109" s="67">
        <v>2</v>
      </c>
      <c r="E109" s="67">
        <v>4</v>
      </c>
      <c r="F109" s="67">
        <v>205.3</v>
      </c>
      <c r="G109" s="67"/>
      <c r="H109" s="67">
        <f>205.3-I109</f>
        <v>147.3</v>
      </c>
      <c r="I109" s="67">
        <f>58</f>
        <v>58</v>
      </c>
      <c r="J109" s="67"/>
      <c r="K109" s="66">
        <v>1</v>
      </c>
      <c r="L109" s="50">
        <v>5.08</v>
      </c>
      <c r="M109" s="51">
        <f t="shared" si="13"/>
        <v>748.2840000000001</v>
      </c>
      <c r="N109" s="51">
        <f t="shared" si="14"/>
        <v>8979.408000000001</v>
      </c>
      <c r="O109" s="52">
        <f t="shared" si="15"/>
        <v>8561.865528000002</v>
      </c>
      <c r="P109" s="79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4">
        <f t="shared" si="16"/>
        <v>0</v>
      </c>
    </row>
    <row r="110" spans="1:39" ht="15.75">
      <c r="A110" s="12">
        <v>105</v>
      </c>
      <c r="B110" s="13" t="s">
        <v>140</v>
      </c>
      <c r="C110" s="14">
        <v>1950</v>
      </c>
      <c r="D110" s="14">
        <v>2</v>
      </c>
      <c r="E110" s="14">
        <v>8</v>
      </c>
      <c r="F110" s="14">
        <v>370.8</v>
      </c>
      <c r="G110" s="8">
        <v>0</v>
      </c>
      <c r="H110" s="14">
        <v>370.8</v>
      </c>
      <c r="I110" s="14"/>
      <c r="J110" s="14">
        <v>264.7</v>
      </c>
      <c r="K110" s="20">
        <v>2</v>
      </c>
      <c r="L110" s="10">
        <v>5.08</v>
      </c>
      <c r="M110" s="16">
        <f t="shared" si="13"/>
        <v>1883.664</v>
      </c>
      <c r="N110" s="16">
        <f t="shared" si="14"/>
        <v>22603.968</v>
      </c>
      <c r="O110" s="17">
        <f t="shared" si="15"/>
        <v>21552.883488</v>
      </c>
      <c r="P110" s="77">
        <v>0</v>
      </c>
      <c r="Q110" s="142">
        <v>22.926</v>
      </c>
      <c r="R110" s="18">
        <v>0</v>
      </c>
      <c r="S110" s="18">
        <v>0</v>
      </c>
      <c r="T110" s="18">
        <v>0</v>
      </c>
      <c r="U110" s="96">
        <f>9.38</f>
        <v>9.38</v>
      </c>
      <c r="V110" s="18">
        <v>0</v>
      </c>
      <c r="W110" s="18">
        <v>0</v>
      </c>
      <c r="X110" s="279">
        <v>34.76</v>
      </c>
      <c r="Y110" s="18">
        <v>0</v>
      </c>
      <c r="Z110" s="18">
        <v>0</v>
      </c>
      <c r="AA110" s="110">
        <v>9.374</v>
      </c>
      <c r="AB110" s="185">
        <f>1.777+23.92+2.52</f>
        <v>28.217000000000002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91">
        <f t="shared" si="16"/>
        <v>104.657</v>
      </c>
      <c r="AK110" s="5">
        <f aca="true" t="shared" si="20" ref="AK110:AK136">4963963*F110/653667.1</f>
        <v>2815.863733083706</v>
      </c>
      <c r="AL110" s="5">
        <f aca="true" t="shared" si="21" ref="AL110:AL136">3362538*F110/653567.1</f>
        <v>1907.7292758463518</v>
      </c>
      <c r="AM110" s="5">
        <f aca="true" t="shared" si="22" ref="AM110:AM136">218982*F110/653567.1</f>
        <v>124.23900407471552</v>
      </c>
    </row>
    <row r="111" spans="1:39" ht="15.75">
      <c r="A111" s="12">
        <v>106</v>
      </c>
      <c r="B111" s="13" t="s">
        <v>141</v>
      </c>
      <c r="C111" s="14" t="s">
        <v>142</v>
      </c>
      <c r="D111" s="14">
        <v>2</v>
      </c>
      <c r="E111" s="14">
        <v>12</v>
      </c>
      <c r="F111" s="14">
        <v>813.6</v>
      </c>
      <c r="G111" s="8">
        <v>0</v>
      </c>
      <c r="H111" s="14">
        <v>813.6</v>
      </c>
      <c r="I111" s="14"/>
      <c r="J111" s="14">
        <v>493.8</v>
      </c>
      <c r="K111" s="20">
        <v>2</v>
      </c>
      <c r="L111" s="10">
        <v>5.08</v>
      </c>
      <c r="M111" s="16">
        <f t="shared" si="13"/>
        <v>4133.088</v>
      </c>
      <c r="N111" s="16">
        <f t="shared" si="14"/>
        <v>49597.056</v>
      </c>
      <c r="O111" s="17">
        <f t="shared" si="15"/>
        <v>47290.792896</v>
      </c>
      <c r="P111" s="103">
        <v>0.829</v>
      </c>
      <c r="Q111" s="142">
        <v>0.244</v>
      </c>
      <c r="R111" s="18">
        <v>0</v>
      </c>
      <c r="S111" s="18">
        <v>0</v>
      </c>
      <c r="T111" s="99">
        <v>57.11</v>
      </c>
      <c r="U111" s="18">
        <v>0</v>
      </c>
      <c r="V111" s="18">
        <v>0</v>
      </c>
      <c r="W111" s="18">
        <v>0</v>
      </c>
      <c r="X111" s="18">
        <v>0</v>
      </c>
      <c r="Y111" s="107">
        <v>7.502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91">
        <f t="shared" si="16"/>
        <v>65.685</v>
      </c>
      <c r="AK111" s="5">
        <f t="shared" si="20"/>
        <v>6178.49712307687</v>
      </c>
      <c r="AL111" s="5">
        <f t="shared" si="21"/>
        <v>4185.891420789082</v>
      </c>
      <c r="AM111" s="5">
        <f t="shared" si="22"/>
        <v>272.6020866105409</v>
      </c>
    </row>
    <row r="112" spans="1:39" ht="15.75">
      <c r="A112" s="12">
        <v>107</v>
      </c>
      <c r="B112" s="13" t="s">
        <v>143</v>
      </c>
      <c r="C112" s="14">
        <v>1955</v>
      </c>
      <c r="D112" s="14">
        <v>2</v>
      </c>
      <c r="E112" s="14">
        <v>12</v>
      </c>
      <c r="F112" s="14">
        <v>671</v>
      </c>
      <c r="G112" s="8">
        <v>0</v>
      </c>
      <c r="H112" s="14">
        <v>671</v>
      </c>
      <c r="I112" s="14"/>
      <c r="J112" s="14">
        <v>423.85</v>
      </c>
      <c r="K112" s="20">
        <v>2</v>
      </c>
      <c r="L112" s="10">
        <v>5.08</v>
      </c>
      <c r="M112" s="16">
        <f t="shared" si="13"/>
        <v>3408.68</v>
      </c>
      <c r="N112" s="16">
        <f t="shared" si="14"/>
        <v>40904.159999999996</v>
      </c>
      <c r="O112" s="17">
        <f t="shared" si="15"/>
        <v>39002.116559999995</v>
      </c>
      <c r="P112" s="77">
        <v>0</v>
      </c>
      <c r="Q112" s="142">
        <v>0.122</v>
      </c>
      <c r="R112" s="18">
        <v>0</v>
      </c>
      <c r="S112" s="18">
        <v>0</v>
      </c>
      <c r="T112" s="99">
        <v>67.501</v>
      </c>
      <c r="U112" s="96">
        <f>31.816</f>
        <v>31.816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91">
        <f t="shared" si="16"/>
        <v>99.43900000000001</v>
      </c>
      <c r="AK112" s="5">
        <f t="shared" si="20"/>
        <v>5095.5894414756385</v>
      </c>
      <c r="AL112" s="5">
        <f t="shared" si="21"/>
        <v>3452.2285439398647</v>
      </c>
      <c r="AM112" s="5">
        <f t="shared" si="22"/>
        <v>224.82300899173168</v>
      </c>
    </row>
    <row r="113" spans="1:39" ht="15.75">
      <c r="A113" s="12">
        <v>108</v>
      </c>
      <c r="B113" s="13" t="s">
        <v>144</v>
      </c>
      <c r="C113" s="14" t="s">
        <v>145</v>
      </c>
      <c r="D113" s="14">
        <v>5</v>
      </c>
      <c r="E113" s="14">
        <v>105</v>
      </c>
      <c r="F113" s="14">
        <v>5382.8</v>
      </c>
      <c r="G113" s="8">
        <v>558.8</v>
      </c>
      <c r="H113" s="14">
        <v>4824</v>
      </c>
      <c r="I113" s="14"/>
      <c r="J113" s="14">
        <v>2889.3</v>
      </c>
      <c r="K113" s="20">
        <v>7</v>
      </c>
      <c r="L113" s="10">
        <v>5.08</v>
      </c>
      <c r="M113" s="16">
        <f t="shared" si="13"/>
        <v>24505.920000000002</v>
      </c>
      <c r="N113" s="16">
        <f t="shared" si="14"/>
        <v>294071.04000000004</v>
      </c>
      <c r="O113" s="17">
        <f t="shared" si="15"/>
        <v>280396.73664</v>
      </c>
      <c r="P113" s="103">
        <v>27.872</v>
      </c>
      <c r="Q113" s="18">
        <v>0</v>
      </c>
      <c r="R113" s="184">
        <v>16.525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7">
        <f>2.043+1.459+4.243</f>
        <v>7.745000000000001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91">
        <f t="shared" si="16"/>
        <v>52.141999999999996</v>
      </c>
      <c r="AK113" s="5">
        <f t="shared" si="20"/>
        <v>40877.10707239205</v>
      </c>
      <c r="AL113" s="5">
        <f t="shared" si="21"/>
        <v>27693.972885722065</v>
      </c>
      <c r="AM113" s="5">
        <f t="shared" si="22"/>
        <v>1803.5429102841929</v>
      </c>
    </row>
    <row r="114" spans="1:39" ht="15.75">
      <c r="A114" s="12">
        <v>109</v>
      </c>
      <c r="B114" s="13" t="s">
        <v>146</v>
      </c>
      <c r="C114" s="14">
        <v>1956</v>
      </c>
      <c r="D114" s="14">
        <v>2</v>
      </c>
      <c r="E114" s="14">
        <v>16</v>
      </c>
      <c r="F114" s="14">
        <v>844.1</v>
      </c>
      <c r="G114" s="8">
        <v>0</v>
      </c>
      <c r="H114" s="14">
        <v>844.1</v>
      </c>
      <c r="I114" s="14"/>
      <c r="J114" s="14">
        <v>536.2</v>
      </c>
      <c r="K114" s="20">
        <v>1</v>
      </c>
      <c r="L114" s="10">
        <v>5.08</v>
      </c>
      <c r="M114" s="16">
        <f t="shared" si="13"/>
        <v>4288.028</v>
      </c>
      <c r="N114" s="16">
        <f t="shared" si="14"/>
        <v>51456.336</v>
      </c>
      <c r="O114" s="17">
        <f t="shared" si="15"/>
        <v>49063.616376000005</v>
      </c>
      <c r="P114" s="103">
        <v>5.733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91">
        <f t="shared" si="16"/>
        <v>5.733</v>
      </c>
      <c r="AK114" s="5">
        <f t="shared" si="20"/>
        <v>6410.114824962126</v>
      </c>
      <c r="AL114" s="5">
        <f t="shared" si="21"/>
        <v>4342.810900059077</v>
      </c>
      <c r="AM114" s="5">
        <f t="shared" si="22"/>
        <v>282.82131429198324</v>
      </c>
    </row>
    <row r="115" spans="1:39" ht="15.75">
      <c r="A115" s="12">
        <v>110</v>
      </c>
      <c r="B115" s="13" t="s">
        <v>147</v>
      </c>
      <c r="C115" s="14">
        <v>1978</v>
      </c>
      <c r="D115" s="14">
        <v>5</v>
      </c>
      <c r="E115" s="14">
        <v>60</v>
      </c>
      <c r="F115" s="14">
        <v>2869.2</v>
      </c>
      <c r="G115" s="8">
        <v>0</v>
      </c>
      <c r="H115" s="14">
        <v>3200.3</v>
      </c>
      <c r="I115" s="14"/>
      <c r="J115" s="14">
        <v>1753.5</v>
      </c>
      <c r="K115" s="20">
        <v>4</v>
      </c>
      <c r="L115" s="10">
        <v>5.08</v>
      </c>
      <c r="M115" s="16">
        <f t="shared" si="13"/>
        <v>16257.524000000001</v>
      </c>
      <c r="N115" s="16">
        <f t="shared" si="14"/>
        <v>195090.288</v>
      </c>
      <c r="O115" s="17">
        <f t="shared" si="15"/>
        <v>186018.589608</v>
      </c>
      <c r="P115" s="77">
        <v>0</v>
      </c>
      <c r="Q115" s="18">
        <v>0</v>
      </c>
      <c r="R115" s="18">
        <v>0</v>
      </c>
      <c r="S115" s="97">
        <v>1.741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06">
        <v>3.519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91">
        <f t="shared" si="16"/>
        <v>5.26</v>
      </c>
      <c r="AK115" s="5">
        <f t="shared" si="20"/>
        <v>21788.770827841876</v>
      </c>
      <c r="AL115" s="5">
        <f t="shared" si="21"/>
        <v>14761.7498334907</v>
      </c>
      <c r="AM115" s="5">
        <f t="shared" si="22"/>
        <v>961.3445266752259</v>
      </c>
    </row>
    <row r="116" spans="1:39" ht="15.75">
      <c r="A116" s="12">
        <v>111</v>
      </c>
      <c r="B116" s="13" t="s">
        <v>148</v>
      </c>
      <c r="C116" s="14">
        <v>1963</v>
      </c>
      <c r="D116" s="14">
        <v>3</v>
      </c>
      <c r="E116" s="14">
        <v>24</v>
      </c>
      <c r="F116" s="14">
        <v>969.2</v>
      </c>
      <c r="G116" s="8">
        <v>0</v>
      </c>
      <c r="H116" s="14">
        <v>969.2</v>
      </c>
      <c r="I116" s="14"/>
      <c r="J116" s="14">
        <v>659.2</v>
      </c>
      <c r="K116" s="20">
        <v>2</v>
      </c>
      <c r="L116" s="10">
        <v>5.08</v>
      </c>
      <c r="M116" s="16">
        <f t="shared" si="13"/>
        <v>4923.536</v>
      </c>
      <c r="N116" s="16">
        <f>M116*$N$1</f>
        <v>59082.432</v>
      </c>
      <c r="O116" s="17">
        <f t="shared" si="15"/>
        <v>56335.098912</v>
      </c>
      <c r="P116" s="77">
        <v>0</v>
      </c>
      <c r="Q116" s="18">
        <v>0</v>
      </c>
      <c r="R116" s="18">
        <v>0</v>
      </c>
      <c r="S116" s="18">
        <v>0</v>
      </c>
      <c r="T116" s="18">
        <v>0</v>
      </c>
      <c r="U116" s="96">
        <f>0.308</f>
        <v>0.308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10">
        <v>4.696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91">
        <f t="shared" si="16"/>
        <v>5.004</v>
      </c>
      <c r="AK116" s="5">
        <f t="shared" si="20"/>
        <v>7360.127103842308</v>
      </c>
      <c r="AL116" s="5">
        <f t="shared" si="21"/>
        <v>4986.438010114035</v>
      </c>
      <c r="AM116" s="5">
        <f t="shared" si="22"/>
        <v>324.7369006181615</v>
      </c>
    </row>
    <row r="117" spans="1:39" ht="15.75">
      <c r="A117" s="12">
        <v>112</v>
      </c>
      <c r="B117" s="13" t="s">
        <v>149</v>
      </c>
      <c r="C117" s="14">
        <v>1964</v>
      </c>
      <c r="D117" s="14">
        <v>4</v>
      </c>
      <c r="E117" s="14">
        <v>48</v>
      </c>
      <c r="F117" s="14">
        <v>2045.3</v>
      </c>
      <c r="G117" s="8">
        <v>0</v>
      </c>
      <c r="H117" s="14">
        <v>2045.3</v>
      </c>
      <c r="I117" s="14"/>
      <c r="J117" s="14">
        <v>1340.7</v>
      </c>
      <c r="K117" s="20">
        <v>3</v>
      </c>
      <c r="L117" s="10">
        <v>5.08</v>
      </c>
      <c r="M117" s="16">
        <f t="shared" si="13"/>
        <v>10390.124</v>
      </c>
      <c r="N117" s="16">
        <f t="shared" si="14"/>
        <v>124681.488</v>
      </c>
      <c r="O117" s="17">
        <f t="shared" si="15"/>
        <v>118883.79880799999</v>
      </c>
      <c r="P117" s="77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04">
        <v>3.451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91">
        <f t="shared" si="16"/>
        <v>3.451</v>
      </c>
      <c r="AK117" s="5">
        <f t="shared" si="20"/>
        <v>15532.055267734906</v>
      </c>
      <c r="AL117" s="5">
        <f t="shared" si="21"/>
        <v>10522.865932816998</v>
      </c>
      <c r="AM117" s="5">
        <f t="shared" si="22"/>
        <v>685.2913566181651</v>
      </c>
    </row>
    <row r="118" spans="1:39" ht="15.75">
      <c r="A118" s="12">
        <v>113</v>
      </c>
      <c r="B118" s="13" t="s">
        <v>150</v>
      </c>
      <c r="C118" s="14" t="s">
        <v>151</v>
      </c>
      <c r="D118" s="14">
        <v>3</v>
      </c>
      <c r="E118" s="14">
        <v>24</v>
      </c>
      <c r="F118" s="14">
        <v>972.6</v>
      </c>
      <c r="G118" s="8">
        <v>0</v>
      </c>
      <c r="H118" s="14">
        <v>972.6</v>
      </c>
      <c r="I118" s="14"/>
      <c r="J118" s="14">
        <v>635.6</v>
      </c>
      <c r="K118" s="20">
        <v>2</v>
      </c>
      <c r="L118" s="10">
        <v>5.08</v>
      </c>
      <c r="M118" s="16">
        <f t="shared" si="13"/>
        <v>4940.808</v>
      </c>
      <c r="N118" s="16">
        <f t="shared" si="14"/>
        <v>59289.695999999996</v>
      </c>
      <c r="O118" s="17">
        <f t="shared" si="15"/>
        <v>56532.725135999994</v>
      </c>
      <c r="P118" s="77">
        <v>0</v>
      </c>
      <c r="Q118" s="18">
        <v>0</v>
      </c>
      <c r="R118" s="18">
        <v>0</v>
      </c>
      <c r="S118" s="18">
        <v>0</v>
      </c>
      <c r="T118" s="99">
        <f>210.027</f>
        <v>210.027</v>
      </c>
      <c r="U118" s="18">
        <v>0</v>
      </c>
      <c r="V118" s="104">
        <v>3.451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91">
        <f t="shared" si="16"/>
        <v>213.47799999999998</v>
      </c>
      <c r="AK118" s="5">
        <f t="shared" si="20"/>
        <v>7385.946782085255</v>
      </c>
      <c r="AL118" s="5">
        <f t="shared" si="21"/>
        <v>5003.930673376919</v>
      </c>
      <c r="AM118" s="5">
        <f t="shared" si="22"/>
        <v>325.87609321215837</v>
      </c>
    </row>
    <row r="119" spans="1:39" ht="15.75">
      <c r="A119" s="12">
        <v>114</v>
      </c>
      <c r="B119" s="13" t="s">
        <v>152</v>
      </c>
      <c r="C119" s="14">
        <v>1958</v>
      </c>
      <c r="D119" s="14">
        <v>2</v>
      </c>
      <c r="E119" s="14">
        <v>4</v>
      </c>
      <c r="F119" s="14">
        <v>270.7</v>
      </c>
      <c r="G119" s="8">
        <v>0</v>
      </c>
      <c r="H119" s="14">
        <v>270.7</v>
      </c>
      <c r="I119" s="14"/>
      <c r="J119" s="14">
        <v>201</v>
      </c>
      <c r="K119" s="20">
        <v>1</v>
      </c>
      <c r="L119" s="10">
        <v>5.08</v>
      </c>
      <c r="M119" s="16">
        <f t="shared" si="13"/>
        <v>1375.156</v>
      </c>
      <c r="N119" s="16">
        <f t="shared" si="14"/>
        <v>16501.872</v>
      </c>
      <c r="O119" s="17">
        <f t="shared" si="15"/>
        <v>15734.534952</v>
      </c>
      <c r="P119" s="103">
        <v>1.251</v>
      </c>
      <c r="Q119" s="18">
        <v>0</v>
      </c>
      <c r="R119" s="18">
        <v>0</v>
      </c>
      <c r="S119" s="18">
        <v>0</v>
      </c>
      <c r="T119" s="18">
        <v>0</v>
      </c>
      <c r="U119" s="96">
        <f>0.655</f>
        <v>0.655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5">
        <v>10.631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91">
        <f t="shared" si="16"/>
        <v>12.537</v>
      </c>
      <c r="AK119" s="5">
        <f t="shared" si="20"/>
        <v>2055.7020295193074</v>
      </c>
      <c r="AL119" s="5">
        <f t="shared" si="21"/>
        <v>1392.7246897831913</v>
      </c>
      <c r="AM119" s="5">
        <f t="shared" si="22"/>
        <v>90.69983388086702</v>
      </c>
    </row>
    <row r="120" spans="1:39" ht="15.75">
      <c r="A120" s="12">
        <v>115</v>
      </c>
      <c r="B120" s="13" t="s">
        <v>153</v>
      </c>
      <c r="C120" s="14">
        <v>1964</v>
      </c>
      <c r="D120" s="14">
        <v>2</v>
      </c>
      <c r="E120" s="14">
        <v>8</v>
      </c>
      <c r="F120" s="14">
        <v>424.8</v>
      </c>
      <c r="G120" s="8">
        <v>0</v>
      </c>
      <c r="H120" s="14">
        <v>424.8</v>
      </c>
      <c r="I120" s="14"/>
      <c r="J120" s="14">
        <v>286.1</v>
      </c>
      <c r="K120" s="20">
        <v>1</v>
      </c>
      <c r="L120" s="10">
        <v>5.08</v>
      </c>
      <c r="M120" s="16">
        <f t="shared" si="13"/>
        <v>2157.984</v>
      </c>
      <c r="N120" s="16">
        <f t="shared" si="14"/>
        <v>25895.807999999997</v>
      </c>
      <c r="O120" s="17">
        <f t="shared" si="15"/>
        <v>24691.652928</v>
      </c>
      <c r="P120" s="103">
        <v>50.452</v>
      </c>
      <c r="Q120" s="142">
        <v>2.278</v>
      </c>
      <c r="R120" s="18">
        <v>0</v>
      </c>
      <c r="S120" s="18">
        <v>0</v>
      </c>
      <c r="T120" s="18">
        <v>0</v>
      </c>
      <c r="U120" s="18">
        <v>0</v>
      </c>
      <c r="V120" s="104">
        <v>0.695</v>
      </c>
      <c r="W120" s="18">
        <v>0</v>
      </c>
      <c r="X120" s="18">
        <v>0</v>
      </c>
      <c r="Y120" s="18">
        <v>0</v>
      </c>
      <c r="Z120" s="18">
        <v>0</v>
      </c>
      <c r="AA120" s="110">
        <v>14.82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91">
        <f t="shared" si="16"/>
        <v>68.245</v>
      </c>
      <c r="AK120" s="5">
        <f t="shared" si="20"/>
        <v>3225.940975765799</v>
      </c>
      <c r="AL120" s="5">
        <f t="shared" si="21"/>
        <v>2185.553927668636</v>
      </c>
      <c r="AM120" s="5">
        <f t="shared" si="22"/>
        <v>142.33206292054788</v>
      </c>
    </row>
    <row r="121" spans="1:39" ht="15.75">
      <c r="A121" s="12">
        <v>116</v>
      </c>
      <c r="B121" s="13" t="s">
        <v>154</v>
      </c>
      <c r="C121" s="14" t="s">
        <v>155</v>
      </c>
      <c r="D121" s="14">
        <v>5</v>
      </c>
      <c r="E121" s="14">
        <v>80</v>
      </c>
      <c r="F121" s="14">
        <v>3200.3</v>
      </c>
      <c r="G121" s="8">
        <v>0</v>
      </c>
      <c r="H121" s="14">
        <v>3200.3</v>
      </c>
      <c r="I121" s="14"/>
      <c r="J121" s="14">
        <v>2065.1</v>
      </c>
      <c r="K121" s="20">
        <v>4</v>
      </c>
      <c r="L121" s="10">
        <v>5.08</v>
      </c>
      <c r="M121" s="16">
        <f t="shared" si="13"/>
        <v>16257.524000000001</v>
      </c>
      <c r="N121" s="16">
        <f>M121*$N$1</f>
        <v>195090.288</v>
      </c>
      <c r="O121" s="17">
        <f t="shared" si="15"/>
        <v>186018.589608</v>
      </c>
      <c r="P121" s="77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07">
        <v>6.464</v>
      </c>
      <c r="Z121" s="18">
        <v>0</v>
      </c>
      <c r="AA121" s="110">
        <v>6.534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91">
        <f t="shared" si="16"/>
        <v>12.998000000000001</v>
      </c>
      <c r="AK121" s="5">
        <f t="shared" si="20"/>
        <v>24303.151847324123</v>
      </c>
      <c r="AL121" s="5">
        <f t="shared" si="21"/>
        <v>16465.22654123808</v>
      </c>
      <c r="AM121" s="5">
        <f t="shared" si="22"/>
        <v>1072.2817819318018</v>
      </c>
    </row>
    <row r="122" spans="1:39" ht="15.75">
      <c r="A122" s="12">
        <v>117</v>
      </c>
      <c r="B122" s="13" t="s">
        <v>156</v>
      </c>
      <c r="C122" s="14">
        <v>1964</v>
      </c>
      <c r="D122" s="14">
        <v>5</v>
      </c>
      <c r="E122" s="14">
        <v>80</v>
      </c>
      <c r="F122" s="14">
        <v>3181.3</v>
      </c>
      <c r="G122" s="8">
        <v>0</v>
      </c>
      <c r="H122" s="14">
        <v>3181.3</v>
      </c>
      <c r="I122" s="14"/>
      <c r="J122" s="14">
        <v>2042.4</v>
      </c>
      <c r="K122" s="20">
        <v>4</v>
      </c>
      <c r="L122" s="10">
        <v>5.08</v>
      </c>
      <c r="M122" s="16">
        <f t="shared" si="13"/>
        <v>16161.004</v>
      </c>
      <c r="N122" s="16">
        <f t="shared" si="14"/>
        <v>193932.048</v>
      </c>
      <c r="O122" s="17">
        <f t="shared" si="15"/>
        <v>184914.20776800002</v>
      </c>
      <c r="P122" s="77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07">
        <v>3.232</v>
      </c>
      <c r="Z122" s="18">
        <v>0</v>
      </c>
      <c r="AA122" s="110">
        <v>6.75</v>
      </c>
      <c r="AB122" s="185">
        <v>0.078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91">
        <f t="shared" si="16"/>
        <v>10.059999999999999</v>
      </c>
      <c r="AK122" s="5">
        <f t="shared" si="20"/>
        <v>24158.865410084127</v>
      </c>
      <c r="AL122" s="5">
        <f t="shared" si="21"/>
        <v>16367.473423004312</v>
      </c>
      <c r="AM122" s="5">
        <f t="shared" si="22"/>
        <v>1065.915705671231</v>
      </c>
    </row>
    <row r="123" spans="1:39" ht="15.75">
      <c r="A123" s="12">
        <v>118</v>
      </c>
      <c r="B123" s="13" t="s">
        <v>157</v>
      </c>
      <c r="C123" s="14">
        <v>1964</v>
      </c>
      <c r="D123" s="14">
        <v>5</v>
      </c>
      <c r="E123" s="14">
        <v>80</v>
      </c>
      <c r="F123" s="14">
        <v>3172.8</v>
      </c>
      <c r="G123" s="8">
        <v>0</v>
      </c>
      <c r="H123" s="14">
        <v>3172.8</v>
      </c>
      <c r="I123" s="14"/>
      <c r="J123" s="14">
        <v>2042.3</v>
      </c>
      <c r="K123" s="20">
        <v>4</v>
      </c>
      <c r="L123" s="10">
        <v>5.08</v>
      </c>
      <c r="M123" s="16">
        <f t="shared" si="13"/>
        <v>16117.824</v>
      </c>
      <c r="N123" s="16">
        <f t="shared" si="14"/>
        <v>193413.888</v>
      </c>
      <c r="O123" s="17">
        <f t="shared" si="15"/>
        <v>184420.142208</v>
      </c>
      <c r="P123" s="77">
        <v>0</v>
      </c>
      <c r="Q123" s="18">
        <v>0</v>
      </c>
      <c r="R123" s="18">
        <v>0</v>
      </c>
      <c r="S123" s="18">
        <v>0</v>
      </c>
      <c r="T123" s="96">
        <f>0.399</f>
        <v>0.399</v>
      </c>
      <c r="U123" s="96">
        <f>8.174</f>
        <v>8.174</v>
      </c>
      <c r="V123" s="18">
        <v>0</v>
      </c>
      <c r="W123" s="18">
        <v>0</v>
      </c>
      <c r="X123" s="18">
        <v>0</v>
      </c>
      <c r="Y123" s="107">
        <v>8.733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91">
        <f t="shared" si="16"/>
        <v>17.306</v>
      </c>
      <c r="AK123" s="5">
        <f t="shared" si="20"/>
        <v>24094.31621447676</v>
      </c>
      <c r="AL123" s="5">
        <f t="shared" si="21"/>
        <v>16323.741764847102</v>
      </c>
      <c r="AM123" s="5">
        <f t="shared" si="22"/>
        <v>1063.067724186239</v>
      </c>
    </row>
    <row r="124" spans="1:39" ht="15.75">
      <c r="A124" s="12">
        <v>119</v>
      </c>
      <c r="B124" s="13" t="s">
        <v>158</v>
      </c>
      <c r="C124" s="14">
        <v>1970</v>
      </c>
      <c r="D124" s="14">
        <v>5</v>
      </c>
      <c r="E124" s="14">
        <v>78</v>
      </c>
      <c r="F124" s="14">
        <v>3591.1</v>
      </c>
      <c r="G124" s="8">
        <v>76</v>
      </c>
      <c r="H124" s="14">
        <v>3515.1</v>
      </c>
      <c r="I124" s="14"/>
      <c r="J124" s="14">
        <v>2334.6</v>
      </c>
      <c r="K124" s="20">
        <v>4</v>
      </c>
      <c r="L124" s="10">
        <v>5.08</v>
      </c>
      <c r="M124" s="16">
        <f t="shared" si="13"/>
        <v>17856.708</v>
      </c>
      <c r="N124" s="16">
        <f t="shared" si="14"/>
        <v>214280.49599999998</v>
      </c>
      <c r="O124" s="17">
        <f t="shared" si="15"/>
        <v>204316.452936</v>
      </c>
      <c r="P124" s="103">
        <v>10.657</v>
      </c>
      <c r="Q124" s="142">
        <v>12.529</v>
      </c>
      <c r="R124" s="18">
        <v>0</v>
      </c>
      <c r="S124" s="97">
        <v>44.277</v>
      </c>
      <c r="T124" s="99">
        <f>124.21+131.843</f>
        <v>256.053</v>
      </c>
      <c r="U124" s="18">
        <v>0</v>
      </c>
      <c r="V124" s="104">
        <v>3.451</v>
      </c>
      <c r="W124" s="18">
        <v>0</v>
      </c>
      <c r="X124" s="18">
        <v>0</v>
      </c>
      <c r="Y124" s="107">
        <v>5.542</v>
      </c>
      <c r="Z124" s="18">
        <v>0</v>
      </c>
      <c r="AA124" s="110">
        <v>3.049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91">
        <f t="shared" si="16"/>
        <v>335.55799999999994</v>
      </c>
      <c r="AK124" s="5">
        <f t="shared" si="20"/>
        <v>27270.896040660453</v>
      </c>
      <c r="AL124" s="5">
        <f t="shared" si="21"/>
        <v>18475.853836277867</v>
      </c>
      <c r="AM124" s="5">
        <f t="shared" si="22"/>
        <v>1203.221918912381</v>
      </c>
    </row>
    <row r="125" spans="1:39" ht="15.75">
      <c r="A125" s="12">
        <v>120</v>
      </c>
      <c r="B125" s="13" t="s">
        <v>159</v>
      </c>
      <c r="C125" s="14">
        <v>1972</v>
      </c>
      <c r="D125" s="14">
        <v>5</v>
      </c>
      <c r="E125" s="14">
        <v>78</v>
      </c>
      <c r="F125" s="14">
        <v>3562.3</v>
      </c>
      <c r="G125" s="8">
        <v>63.2</v>
      </c>
      <c r="H125" s="14">
        <v>3499.1</v>
      </c>
      <c r="I125" s="14"/>
      <c r="J125" s="14">
        <v>2328.5</v>
      </c>
      <c r="K125" s="20">
        <v>4</v>
      </c>
      <c r="L125" s="10">
        <v>5.08</v>
      </c>
      <c r="M125" s="16">
        <f t="shared" si="13"/>
        <v>17775.428</v>
      </c>
      <c r="N125" s="16">
        <f t="shared" si="14"/>
        <v>213305.136</v>
      </c>
      <c r="O125" s="17">
        <f t="shared" si="15"/>
        <v>203386.44717600002</v>
      </c>
      <c r="P125" s="77">
        <v>0</v>
      </c>
      <c r="Q125" s="18">
        <v>0</v>
      </c>
      <c r="R125" s="18">
        <v>0</v>
      </c>
      <c r="S125" s="18">
        <v>0</v>
      </c>
      <c r="T125" s="18">
        <v>0</v>
      </c>
      <c r="U125" s="96">
        <f>2.905+0.119</f>
        <v>3.024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91">
        <f t="shared" si="16"/>
        <v>3.024</v>
      </c>
      <c r="AK125" s="5">
        <f t="shared" si="20"/>
        <v>27052.188177896674</v>
      </c>
      <c r="AL125" s="5">
        <f t="shared" si="21"/>
        <v>18327.680688639317</v>
      </c>
      <c r="AM125" s="5">
        <f t="shared" si="22"/>
        <v>1193.572287527937</v>
      </c>
    </row>
    <row r="126" spans="1:39" ht="15.75">
      <c r="A126" s="12">
        <v>121</v>
      </c>
      <c r="B126" s="13" t="s">
        <v>160</v>
      </c>
      <c r="C126" s="14" t="s">
        <v>161</v>
      </c>
      <c r="D126" s="14">
        <v>4</v>
      </c>
      <c r="E126" s="14">
        <v>32</v>
      </c>
      <c r="F126" s="14">
        <v>2888.6</v>
      </c>
      <c r="G126" s="8">
        <v>0</v>
      </c>
      <c r="H126" s="14">
        <v>2888.6</v>
      </c>
      <c r="I126" s="14"/>
      <c r="J126" s="14">
        <v>2135</v>
      </c>
      <c r="K126" s="20">
        <v>4</v>
      </c>
      <c r="L126" s="10">
        <v>5.08</v>
      </c>
      <c r="M126" s="16">
        <f t="shared" si="13"/>
        <v>14674.088</v>
      </c>
      <c r="N126" s="16">
        <f t="shared" si="14"/>
        <v>176089.05599999998</v>
      </c>
      <c r="O126" s="17">
        <f t="shared" si="15"/>
        <v>167900.91489599997</v>
      </c>
      <c r="P126" s="103">
        <v>8.119</v>
      </c>
      <c r="Q126" s="18">
        <v>0</v>
      </c>
      <c r="R126" s="18">
        <v>0</v>
      </c>
      <c r="S126" s="18">
        <v>0</v>
      </c>
      <c r="T126" s="18">
        <v>0</v>
      </c>
      <c r="U126" s="96">
        <f>14.349</f>
        <v>14.349</v>
      </c>
      <c r="V126" s="18">
        <v>0</v>
      </c>
      <c r="W126" s="18">
        <v>0</v>
      </c>
      <c r="X126" s="18">
        <v>0</v>
      </c>
      <c r="Y126" s="107">
        <v>11.636</v>
      </c>
      <c r="Z126" s="18">
        <v>0</v>
      </c>
      <c r="AA126" s="110">
        <v>2.033</v>
      </c>
      <c r="AB126" s="18">
        <v>0</v>
      </c>
      <c r="AC126" s="187">
        <v>2.228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91">
        <f t="shared" si="16"/>
        <v>38.365</v>
      </c>
      <c r="AK126" s="5">
        <f t="shared" si="20"/>
        <v>21936.094874286926</v>
      </c>
      <c r="AL126" s="5">
        <f t="shared" si="21"/>
        <v>14861.560912108336</v>
      </c>
      <c r="AM126" s="5">
        <f t="shared" si="22"/>
        <v>967.8446255939137</v>
      </c>
    </row>
    <row r="127" spans="1:39" ht="15.75">
      <c r="A127" s="12">
        <v>122</v>
      </c>
      <c r="B127" s="13" t="s">
        <v>162</v>
      </c>
      <c r="C127" s="14">
        <v>1959</v>
      </c>
      <c r="D127" s="14">
        <v>5</v>
      </c>
      <c r="E127" s="14">
        <v>60</v>
      </c>
      <c r="F127" s="14">
        <v>2559.6</v>
      </c>
      <c r="G127" s="8">
        <v>0</v>
      </c>
      <c r="H127" s="14">
        <v>2559.6</v>
      </c>
      <c r="I127" s="14"/>
      <c r="J127" s="14">
        <v>1597.9</v>
      </c>
      <c r="K127" s="10">
        <v>3</v>
      </c>
      <c r="L127" s="10">
        <v>5.08</v>
      </c>
      <c r="M127" s="16">
        <f t="shared" si="13"/>
        <v>13002.768</v>
      </c>
      <c r="N127" s="16">
        <f t="shared" si="14"/>
        <v>156033.21600000001</v>
      </c>
      <c r="O127" s="17">
        <f t="shared" si="15"/>
        <v>148777.671456</v>
      </c>
      <c r="P127" s="103">
        <v>12.99</v>
      </c>
      <c r="Q127" s="142">
        <v>10.176</v>
      </c>
      <c r="R127" s="18">
        <v>0</v>
      </c>
      <c r="S127" s="18">
        <v>0</v>
      </c>
      <c r="T127" s="18">
        <v>0</v>
      </c>
      <c r="U127" s="96">
        <f>0.668</f>
        <v>0.668</v>
      </c>
      <c r="V127" s="104">
        <v>8.786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91">
        <f t="shared" si="16"/>
        <v>32.62</v>
      </c>
      <c r="AK127" s="5">
        <f t="shared" si="20"/>
        <v>19437.66130313121</v>
      </c>
      <c r="AL127" s="5">
        <f t="shared" si="21"/>
        <v>13168.88849637627</v>
      </c>
      <c r="AM127" s="5">
        <f t="shared" si="22"/>
        <v>857.6109892924536</v>
      </c>
    </row>
    <row r="128" spans="1:39" ht="15.75">
      <c r="A128" s="12">
        <v>123</v>
      </c>
      <c r="B128" s="13" t="s">
        <v>163</v>
      </c>
      <c r="C128" s="14">
        <v>1960</v>
      </c>
      <c r="D128" s="14">
        <v>5</v>
      </c>
      <c r="E128" s="14">
        <v>60</v>
      </c>
      <c r="F128" s="14">
        <v>2587.6</v>
      </c>
      <c r="G128" s="8">
        <v>0</v>
      </c>
      <c r="H128" s="14">
        <v>2587.6</v>
      </c>
      <c r="I128" s="14"/>
      <c r="J128" s="14">
        <v>1651.4</v>
      </c>
      <c r="K128" s="20">
        <v>3</v>
      </c>
      <c r="L128" s="10">
        <v>5.08</v>
      </c>
      <c r="M128" s="16">
        <f t="shared" si="13"/>
        <v>13145.008</v>
      </c>
      <c r="N128" s="16">
        <f>M128*$N$1</f>
        <v>157740.096</v>
      </c>
      <c r="O128" s="17">
        <f t="shared" si="15"/>
        <v>150405.181536</v>
      </c>
      <c r="P128" s="103">
        <v>4.006</v>
      </c>
      <c r="Q128" s="142">
        <v>32.899</v>
      </c>
      <c r="R128" s="18">
        <v>0</v>
      </c>
      <c r="S128" s="18">
        <v>0</v>
      </c>
      <c r="T128" s="18">
        <v>0</v>
      </c>
      <c r="U128" s="96">
        <f>14.508</f>
        <v>14.508</v>
      </c>
      <c r="V128" s="104">
        <v>6.532</v>
      </c>
      <c r="W128" s="18">
        <v>0</v>
      </c>
      <c r="X128" s="18">
        <v>0</v>
      </c>
      <c r="Y128" s="18">
        <v>0</v>
      </c>
      <c r="Z128" s="18">
        <v>0</v>
      </c>
      <c r="AA128" s="110">
        <v>0.216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91">
        <f t="shared" si="16"/>
        <v>58.160999999999994</v>
      </c>
      <c r="AK128" s="5">
        <f t="shared" si="20"/>
        <v>19650.29394748489</v>
      </c>
      <c r="AL128" s="5">
        <f t="shared" si="21"/>
        <v>13312.945723247085</v>
      </c>
      <c r="AM128" s="5">
        <f t="shared" si="22"/>
        <v>866.992575360663</v>
      </c>
    </row>
    <row r="129" spans="1:39" ht="15.75">
      <c r="A129" s="12">
        <v>124</v>
      </c>
      <c r="B129" s="13" t="s">
        <v>164</v>
      </c>
      <c r="C129" s="14" t="s">
        <v>161</v>
      </c>
      <c r="D129" s="14">
        <v>4</v>
      </c>
      <c r="E129" s="14">
        <v>32</v>
      </c>
      <c r="F129" s="14">
        <v>2873.4</v>
      </c>
      <c r="G129" s="8">
        <v>0</v>
      </c>
      <c r="H129" s="14">
        <v>2873.4</v>
      </c>
      <c r="I129" s="14"/>
      <c r="J129" s="14">
        <v>2115.8</v>
      </c>
      <c r="K129" s="20">
        <v>4</v>
      </c>
      <c r="L129" s="10">
        <v>5.08</v>
      </c>
      <c r="M129" s="16">
        <f t="shared" si="13"/>
        <v>14596.872000000001</v>
      </c>
      <c r="N129" s="16">
        <f t="shared" si="14"/>
        <v>175162.464</v>
      </c>
      <c r="O129" s="17">
        <f t="shared" si="15"/>
        <v>167017.409424</v>
      </c>
      <c r="P129" s="77">
        <v>0</v>
      </c>
      <c r="Q129" s="142">
        <v>13.597</v>
      </c>
      <c r="R129" s="18">
        <v>0</v>
      </c>
      <c r="S129" s="97">
        <f>1.045+0.495</f>
        <v>1.54</v>
      </c>
      <c r="T129" s="99">
        <f>3.289+10.298</f>
        <v>13.587</v>
      </c>
      <c r="U129" s="96">
        <f>0.212+5.364+14.876</f>
        <v>20.451999999999998</v>
      </c>
      <c r="V129" s="104">
        <f>1.276+3.081</f>
        <v>4.357</v>
      </c>
      <c r="W129" s="18">
        <v>0</v>
      </c>
      <c r="X129" s="18">
        <v>0</v>
      </c>
      <c r="Y129" s="18">
        <v>0</v>
      </c>
      <c r="Z129" s="18">
        <v>0</v>
      </c>
      <c r="AA129" s="110">
        <v>5.227</v>
      </c>
      <c r="AB129" s="18">
        <v>0</v>
      </c>
      <c r="AC129" s="187">
        <v>0.292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91">
        <f t="shared" si="16"/>
        <v>59.05200000000001</v>
      </c>
      <c r="AK129" s="5">
        <f t="shared" si="20"/>
        <v>21820.66572449493</v>
      </c>
      <c r="AL129" s="5">
        <f t="shared" si="21"/>
        <v>14783.358417521324</v>
      </c>
      <c r="AM129" s="5">
        <f t="shared" si="22"/>
        <v>962.7517645854574</v>
      </c>
    </row>
    <row r="130" spans="1:39" ht="15.75">
      <c r="A130" s="12">
        <v>125</v>
      </c>
      <c r="B130" s="13" t="s">
        <v>165</v>
      </c>
      <c r="C130" s="14">
        <v>1988</v>
      </c>
      <c r="D130" s="14">
        <v>5</v>
      </c>
      <c r="E130" s="14">
        <v>74</v>
      </c>
      <c r="F130" s="14">
        <v>4431.2</v>
      </c>
      <c r="G130" s="8">
        <v>878.7</v>
      </c>
      <c r="H130" s="14">
        <v>3552.5</v>
      </c>
      <c r="I130" s="14"/>
      <c r="J130" s="14">
        <v>2106.3</v>
      </c>
      <c r="K130" s="20">
        <v>6</v>
      </c>
      <c r="L130" s="10">
        <v>5.08</v>
      </c>
      <c r="M130" s="16">
        <f t="shared" si="13"/>
        <v>18046.7</v>
      </c>
      <c r="N130" s="16">
        <f t="shared" si="14"/>
        <v>216560.40000000002</v>
      </c>
      <c r="O130" s="17">
        <f t="shared" si="15"/>
        <v>206490.34140000003</v>
      </c>
      <c r="P130" s="103">
        <v>22.802</v>
      </c>
      <c r="Q130" s="18">
        <v>0</v>
      </c>
      <c r="R130" s="18">
        <v>0</v>
      </c>
      <c r="S130" s="97">
        <f>0.935+3.186</f>
        <v>4.121</v>
      </c>
      <c r="T130" s="100">
        <v>5.207</v>
      </c>
      <c r="U130" s="18">
        <v>0</v>
      </c>
      <c r="V130" s="18">
        <v>0</v>
      </c>
      <c r="W130" s="18">
        <v>0</v>
      </c>
      <c r="X130" s="278">
        <v>43.733</v>
      </c>
      <c r="Y130" s="107">
        <f>6.792+11.926</f>
        <v>18.718</v>
      </c>
      <c r="Z130" s="18">
        <v>0</v>
      </c>
      <c r="AA130" s="110">
        <v>5.147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91">
        <f t="shared" si="16"/>
        <v>99.72800000000001</v>
      </c>
      <c r="AK130" s="5">
        <f t="shared" si="20"/>
        <v>33650.63477357205</v>
      </c>
      <c r="AL130" s="5">
        <f t="shared" si="21"/>
        <v>22798.085132498254</v>
      </c>
      <c r="AM130" s="5">
        <f t="shared" si="22"/>
        <v>1484.7030066231914</v>
      </c>
    </row>
    <row r="131" spans="1:39" ht="15.75">
      <c r="A131" s="12">
        <v>126</v>
      </c>
      <c r="B131" s="13" t="s">
        <v>166</v>
      </c>
      <c r="C131" s="8" t="s">
        <v>161</v>
      </c>
      <c r="D131" s="8">
        <v>4</v>
      </c>
      <c r="E131" s="8">
        <v>32</v>
      </c>
      <c r="F131" s="8">
        <v>2872.2</v>
      </c>
      <c r="G131" s="8">
        <v>8.7</v>
      </c>
      <c r="H131" s="8">
        <v>2863.5</v>
      </c>
      <c r="I131" s="8"/>
      <c r="J131" s="14">
        <v>2103.9</v>
      </c>
      <c r="K131" s="20">
        <v>4</v>
      </c>
      <c r="L131" s="10">
        <v>5.08</v>
      </c>
      <c r="M131" s="16">
        <f t="shared" si="13"/>
        <v>14546.58</v>
      </c>
      <c r="N131" s="16">
        <f t="shared" si="14"/>
        <v>174558.96</v>
      </c>
      <c r="O131" s="17">
        <f t="shared" si="15"/>
        <v>166441.96836</v>
      </c>
      <c r="P131" s="103">
        <v>111.608</v>
      </c>
      <c r="Q131" s="18">
        <v>0</v>
      </c>
      <c r="R131" s="18">
        <v>0</v>
      </c>
      <c r="S131" s="97">
        <f>0.935+0.522+0.495</f>
        <v>1.952</v>
      </c>
      <c r="T131" s="100">
        <v>4.963</v>
      </c>
      <c r="U131" s="96">
        <f>14.66617+0.257</f>
        <v>14.923169999999999</v>
      </c>
      <c r="V131" s="18">
        <v>0</v>
      </c>
      <c r="W131" s="18">
        <v>0</v>
      </c>
      <c r="X131" s="18">
        <v>0</v>
      </c>
      <c r="Y131" s="107">
        <v>12.476</v>
      </c>
      <c r="Z131" s="18">
        <v>0</v>
      </c>
      <c r="AA131" s="110">
        <v>0.917</v>
      </c>
      <c r="AB131" s="185">
        <v>49.26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91">
        <f t="shared" si="16"/>
        <v>196.09917</v>
      </c>
      <c r="AK131" s="5">
        <f t="shared" si="20"/>
        <v>21811.55289687977</v>
      </c>
      <c r="AL131" s="5">
        <f t="shared" si="21"/>
        <v>14777.184536369714</v>
      </c>
      <c r="AM131" s="5">
        <f t="shared" si="22"/>
        <v>962.3496966111054</v>
      </c>
    </row>
    <row r="132" spans="1:39" ht="15.75">
      <c r="A132" s="12">
        <v>127</v>
      </c>
      <c r="B132" s="24" t="s">
        <v>167</v>
      </c>
      <c r="C132" s="25">
        <v>1978.198</v>
      </c>
      <c r="D132" s="25">
        <v>5</v>
      </c>
      <c r="E132" s="25">
        <v>42</v>
      </c>
      <c r="F132" s="25">
        <v>4822.9</v>
      </c>
      <c r="G132" s="26">
        <v>489.7</v>
      </c>
      <c r="H132" s="25">
        <v>4333.2</v>
      </c>
      <c r="I132" s="25"/>
      <c r="J132" s="25">
        <v>2110.8</v>
      </c>
      <c r="K132" s="22">
        <v>1</v>
      </c>
      <c r="L132" s="10">
        <v>5.08</v>
      </c>
      <c r="M132" s="16">
        <f t="shared" si="13"/>
        <v>22012.656</v>
      </c>
      <c r="N132" s="16">
        <f t="shared" si="14"/>
        <v>264151.872</v>
      </c>
      <c r="O132" s="17">
        <f t="shared" si="15"/>
        <v>251868.80995199998</v>
      </c>
      <c r="P132" s="103">
        <v>6.194</v>
      </c>
      <c r="Q132" s="18">
        <v>0</v>
      </c>
      <c r="R132" s="18">
        <v>0</v>
      </c>
      <c r="S132" s="97">
        <f>0.697+0.348</f>
        <v>1.045</v>
      </c>
      <c r="T132" s="18">
        <v>0</v>
      </c>
      <c r="U132" s="18">
        <v>0</v>
      </c>
      <c r="V132" s="18">
        <v>0</v>
      </c>
      <c r="W132" s="18">
        <v>0</v>
      </c>
      <c r="X132" s="278">
        <v>26.24</v>
      </c>
      <c r="Y132" s="107">
        <v>8.774</v>
      </c>
      <c r="Z132" s="106">
        <v>57.622</v>
      </c>
      <c r="AA132" s="110">
        <v>1.016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91">
        <f t="shared" si="16"/>
        <v>100.891</v>
      </c>
      <c r="AK132" s="5">
        <f t="shared" si="20"/>
        <v>36625.21358761975</v>
      </c>
      <c r="AL132" s="5">
        <f t="shared" si="21"/>
        <v>24813.34283840175</v>
      </c>
      <c r="AM132" s="5">
        <f t="shared" si="22"/>
        <v>1615.9446945845345</v>
      </c>
    </row>
    <row r="133" spans="1:39" ht="15.75">
      <c r="A133" s="12">
        <v>128</v>
      </c>
      <c r="B133" s="27" t="s">
        <v>168</v>
      </c>
      <c r="C133" s="28" t="s">
        <v>169</v>
      </c>
      <c r="D133" s="28">
        <v>4</v>
      </c>
      <c r="E133" s="28">
        <v>37</v>
      </c>
      <c r="F133" s="28">
        <v>2951</v>
      </c>
      <c r="G133" s="29">
        <v>232.4</v>
      </c>
      <c r="H133" s="28">
        <v>2718.6</v>
      </c>
      <c r="I133" s="28"/>
      <c r="J133" s="28">
        <v>1869.4</v>
      </c>
      <c r="K133" s="22">
        <v>4</v>
      </c>
      <c r="L133" s="10">
        <v>5.08</v>
      </c>
      <c r="M133" s="16">
        <f t="shared" si="13"/>
        <v>13810.488</v>
      </c>
      <c r="N133" s="16">
        <f t="shared" si="14"/>
        <v>165725.856</v>
      </c>
      <c r="O133" s="17">
        <f t="shared" si="15"/>
        <v>158019.603696</v>
      </c>
      <c r="P133" s="103">
        <v>15.315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7">
        <v>0.975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91">
        <f t="shared" si="16"/>
        <v>16.29</v>
      </c>
      <c r="AK133" s="5">
        <f t="shared" si="20"/>
        <v>22409.961910275124</v>
      </c>
      <c r="AL133" s="5">
        <f t="shared" si="21"/>
        <v>15182.602731991865</v>
      </c>
      <c r="AM133" s="5">
        <f t="shared" si="22"/>
        <v>988.7521602602089</v>
      </c>
    </row>
    <row r="134" spans="1:39" ht="15.75">
      <c r="A134" s="12">
        <v>129</v>
      </c>
      <c r="B134" s="13" t="s">
        <v>170</v>
      </c>
      <c r="C134" s="14" t="s">
        <v>171</v>
      </c>
      <c r="D134" s="14">
        <v>4</v>
      </c>
      <c r="E134" s="14">
        <v>36</v>
      </c>
      <c r="F134" s="14">
        <v>2156.3</v>
      </c>
      <c r="G134" s="8">
        <v>0</v>
      </c>
      <c r="H134" s="14">
        <v>2156.3</v>
      </c>
      <c r="I134" s="14"/>
      <c r="J134" s="14">
        <v>1383.7</v>
      </c>
      <c r="K134" s="20">
        <v>3</v>
      </c>
      <c r="L134" s="10">
        <v>5.08</v>
      </c>
      <c r="M134" s="16">
        <f t="shared" si="13"/>
        <v>10954.004</v>
      </c>
      <c r="N134" s="16">
        <f>M134*$N$1</f>
        <v>131448.048</v>
      </c>
      <c r="O134" s="17">
        <f t="shared" si="15"/>
        <v>125335.71376800002</v>
      </c>
      <c r="P134" s="77">
        <v>0</v>
      </c>
      <c r="Q134" s="18">
        <v>0</v>
      </c>
      <c r="R134" s="18">
        <v>0</v>
      </c>
      <c r="S134" s="18">
        <v>0</v>
      </c>
      <c r="T134" s="100">
        <v>4.95</v>
      </c>
      <c r="U134" s="18">
        <v>0</v>
      </c>
      <c r="V134" s="18">
        <v>0</v>
      </c>
      <c r="W134" s="18">
        <v>0</v>
      </c>
      <c r="X134" s="18">
        <v>0</v>
      </c>
      <c r="Y134" s="107">
        <v>12.895</v>
      </c>
      <c r="Z134" s="18">
        <v>0</v>
      </c>
      <c r="AA134" s="110">
        <v>7.035</v>
      </c>
      <c r="AB134" s="185">
        <v>0.093</v>
      </c>
      <c r="AC134" s="187">
        <v>6.67644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91">
        <f t="shared" si="16"/>
        <v>31.64944</v>
      </c>
      <c r="AK134" s="5">
        <f t="shared" si="20"/>
        <v>16374.99182213699</v>
      </c>
      <c r="AL134" s="5">
        <f t="shared" si="21"/>
        <v>11093.949939340584</v>
      </c>
      <c r="AM134" s="5">
        <f t="shared" si="22"/>
        <v>722.4826442457095</v>
      </c>
    </row>
    <row r="135" spans="1:39" ht="15.75">
      <c r="A135" s="12">
        <v>130</v>
      </c>
      <c r="B135" s="13" t="s">
        <v>172</v>
      </c>
      <c r="C135" s="14">
        <v>1956</v>
      </c>
      <c r="D135" s="14">
        <v>4</v>
      </c>
      <c r="E135" s="14">
        <v>45</v>
      </c>
      <c r="F135" s="14">
        <v>3493.7</v>
      </c>
      <c r="G135" s="8">
        <v>224.4</v>
      </c>
      <c r="H135" s="14">
        <v>3204</v>
      </c>
      <c r="I135" s="14"/>
      <c r="J135" s="14">
        <v>2145.1</v>
      </c>
      <c r="K135" s="20">
        <v>4</v>
      </c>
      <c r="L135" s="10">
        <v>5.08</v>
      </c>
      <c r="M135" s="16">
        <f aca="true" t="shared" si="23" ref="M135:M198">L135*H135</f>
        <v>16276.32</v>
      </c>
      <c r="N135" s="16">
        <f>L135*H135*12</f>
        <v>195315.84</v>
      </c>
      <c r="O135" s="17">
        <f aca="true" t="shared" si="24" ref="O135:O198">N135*$O$1</f>
        <v>186233.65344</v>
      </c>
      <c r="P135" s="103">
        <v>4.055</v>
      </c>
      <c r="Q135" s="18">
        <v>0</v>
      </c>
      <c r="R135" s="18">
        <v>0</v>
      </c>
      <c r="S135" s="18">
        <v>0</v>
      </c>
      <c r="T135" s="99">
        <f>128.385+127.084+234.67+141.786</f>
        <v>631.925</v>
      </c>
      <c r="U135" s="18">
        <v>0</v>
      </c>
      <c r="V135" s="104">
        <f>3.916+0.815</f>
        <v>4.731</v>
      </c>
      <c r="W135" s="18">
        <v>0</v>
      </c>
      <c r="X135" s="18">
        <v>0</v>
      </c>
      <c r="Y135" s="18">
        <v>0</v>
      </c>
      <c r="Z135" s="18">
        <v>0</v>
      </c>
      <c r="AA135" s="110">
        <v>12.862</v>
      </c>
      <c r="AB135" s="185">
        <f>5.999+2.665</f>
        <v>8.664</v>
      </c>
      <c r="AC135" s="186">
        <f>10.849+10.05725</f>
        <v>20.90625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91">
        <f aca="true" t="shared" si="25" ref="AJ135:AJ198">SUM(P135,Q135,R135,S135,T135,U135,V135,W135,X135,Y135,Z135,AA135,AB135,AC135,AD135,AE135,AF135,AG135,AH135,AI135)</f>
        <v>683.1432499999999</v>
      </c>
      <c r="AK135" s="5">
        <f t="shared" si="20"/>
        <v>26531.238199230156</v>
      </c>
      <c r="AL135" s="5">
        <f t="shared" si="21"/>
        <v>17974.74048280582</v>
      </c>
      <c r="AM135" s="5">
        <f t="shared" si="22"/>
        <v>1170.587401660824</v>
      </c>
    </row>
    <row r="136" spans="1:39" ht="15.75">
      <c r="A136" s="12">
        <v>131</v>
      </c>
      <c r="B136" s="13" t="s">
        <v>173</v>
      </c>
      <c r="C136" s="14" t="s">
        <v>174</v>
      </c>
      <c r="D136" s="14">
        <v>4</v>
      </c>
      <c r="E136" s="14">
        <v>70</v>
      </c>
      <c r="F136" s="14">
        <v>3426.2</v>
      </c>
      <c r="G136" s="8">
        <v>0</v>
      </c>
      <c r="H136" s="14">
        <v>3426.2</v>
      </c>
      <c r="I136" s="14"/>
      <c r="J136" s="14">
        <v>2281.2</v>
      </c>
      <c r="K136" s="20">
        <v>5</v>
      </c>
      <c r="L136" s="10">
        <v>5.08</v>
      </c>
      <c r="M136" s="16">
        <f t="shared" si="23"/>
        <v>17405.095999999998</v>
      </c>
      <c r="N136" s="16">
        <f>L136*H136*12</f>
        <v>208861.15199999997</v>
      </c>
      <c r="O136" s="17">
        <f t="shared" si="24"/>
        <v>199149.10843199998</v>
      </c>
      <c r="P136" s="77">
        <v>0</v>
      </c>
      <c r="Q136" s="18">
        <v>0</v>
      </c>
      <c r="R136" s="18">
        <v>0</v>
      </c>
      <c r="S136" s="18">
        <v>0</v>
      </c>
      <c r="T136" s="18">
        <v>0</v>
      </c>
      <c r="U136" s="96">
        <f>27.168</f>
        <v>27.168</v>
      </c>
      <c r="V136" s="18">
        <v>0</v>
      </c>
      <c r="W136" s="18">
        <v>0</v>
      </c>
      <c r="X136" s="278">
        <v>26.24</v>
      </c>
      <c r="Y136" s="107">
        <v>4.848</v>
      </c>
      <c r="Z136" s="106">
        <v>20.136</v>
      </c>
      <c r="AA136" s="110">
        <f>7.84+1.158</f>
        <v>8.998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91">
        <f t="shared" si="25"/>
        <v>87.39</v>
      </c>
      <c r="AK136" s="5">
        <f t="shared" si="20"/>
        <v>26018.641645877542</v>
      </c>
      <c r="AL136" s="5">
        <f t="shared" si="21"/>
        <v>17627.459668027965</v>
      </c>
      <c r="AM136" s="5">
        <f t="shared" si="22"/>
        <v>1147.9710781035337</v>
      </c>
    </row>
    <row r="137" spans="1:36" s="65" customFormat="1" ht="15.75">
      <c r="A137" s="56">
        <v>132</v>
      </c>
      <c r="B137" s="57" t="s">
        <v>175</v>
      </c>
      <c r="C137" s="58" t="s">
        <v>131</v>
      </c>
      <c r="D137" s="58">
        <v>2</v>
      </c>
      <c r="E137" s="58">
        <v>4</v>
      </c>
      <c r="F137" s="58">
        <v>308</v>
      </c>
      <c r="G137" s="59"/>
      <c r="H137" s="58">
        <f>308*0</f>
        <v>0</v>
      </c>
      <c r="I137" s="58"/>
      <c r="J137" s="58"/>
      <c r="K137" s="57">
        <v>1</v>
      </c>
      <c r="L137" s="60" t="s">
        <v>336</v>
      </c>
      <c r="M137" s="61">
        <v>0</v>
      </c>
      <c r="N137" s="61">
        <v>0</v>
      </c>
      <c r="O137" s="62">
        <f t="shared" si="24"/>
        <v>0</v>
      </c>
      <c r="P137" s="78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4">
        <f t="shared" si="25"/>
        <v>0</v>
      </c>
    </row>
    <row r="138" spans="1:39" ht="15.75">
      <c r="A138" s="12">
        <v>133</v>
      </c>
      <c r="B138" s="13" t="s">
        <v>176</v>
      </c>
      <c r="C138" s="14">
        <v>1968</v>
      </c>
      <c r="D138" s="14">
        <v>5</v>
      </c>
      <c r="E138" s="14">
        <v>70</v>
      </c>
      <c r="F138" s="14">
        <v>3939.2</v>
      </c>
      <c r="G138" s="8">
        <v>0</v>
      </c>
      <c r="H138" s="14">
        <v>3939.2</v>
      </c>
      <c r="I138" s="14"/>
      <c r="J138" s="14">
        <v>2368.5</v>
      </c>
      <c r="K138" s="20">
        <v>7</v>
      </c>
      <c r="L138" s="10">
        <v>5.08</v>
      </c>
      <c r="M138" s="16">
        <f t="shared" si="23"/>
        <v>20011.136</v>
      </c>
      <c r="N138" s="16">
        <f>L138*H138*12</f>
        <v>240133.63199999998</v>
      </c>
      <c r="O138" s="17">
        <f t="shared" si="24"/>
        <v>228967.41811199998</v>
      </c>
      <c r="P138" s="77">
        <v>0</v>
      </c>
      <c r="Q138" s="18">
        <v>0</v>
      </c>
      <c r="R138" s="18">
        <v>0</v>
      </c>
      <c r="S138" s="97">
        <v>3.21</v>
      </c>
      <c r="T138" s="18">
        <v>0</v>
      </c>
      <c r="U138" s="18">
        <v>0</v>
      </c>
      <c r="V138" s="104">
        <v>8.363</v>
      </c>
      <c r="W138" s="18">
        <v>0</v>
      </c>
      <c r="X138" s="18">
        <v>0</v>
      </c>
      <c r="Y138" s="107">
        <v>5.542</v>
      </c>
      <c r="Z138" s="18">
        <v>0</v>
      </c>
      <c r="AA138" s="110">
        <v>3.023</v>
      </c>
      <c r="AB138" s="18">
        <v>0</v>
      </c>
      <c r="AC138" s="187">
        <v>0.138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91">
        <f t="shared" si="25"/>
        <v>20.276000000000003</v>
      </c>
      <c r="AK138" s="5">
        <f>4963963*F138/653667.1</f>
        <v>29914.375451357424</v>
      </c>
      <c r="AL138" s="5">
        <f>3362538*F138/653567.1</f>
        <v>20266.793860339665</v>
      </c>
      <c r="AM138" s="5">
        <f>218982*F138/653567.1</f>
        <v>1319.855137138941</v>
      </c>
    </row>
    <row r="139" spans="1:39" ht="15.75">
      <c r="A139" s="12">
        <v>134</v>
      </c>
      <c r="B139" s="13" t="s">
        <v>177</v>
      </c>
      <c r="C139" s="14">
        <v>1968</v>
      </c>
      <c r="D139" s="14">
        <v>5</v>
      </c>
      <c r="E139" s="14">
        <v>80</v>
      </c>
      <c r="F139" s="14">
        <v>3515.2</v>
      </c>
      <c r="G139" s="8">
        <v>0</v>
      </c>
      <c r="H139" s="14">
        <v>3515.2</v>
      </c>
      <c r="I139" s="14"/>
      <c r="J139" s="14">
        <v>2398.3</v>
      </c>
      <c r="K139" s="20">
        <v>4</v>
      </c>
      <c r="L139" s="10">
        <v>5.08</v>
      </c>
      <c r="M139" s="16">
        <f t="shared" si="23"/>
        <v>17857.216</v>
      </c>
      <c r="N139" s="16">
        <f>M139*$N$1</f>
        <v>214286.592</v>
      </c>
      <c r="O139" s="17">
        <f t="shared" si="24"/>
        <v>204322.265472</v>
      </c>
      <c r="P139" s="77">
        <v>0</v>
      </c>
      <c r="Q139" s="18">
        <v>0</v>
      </c>
      <c r="R139" s="18">
        <v>0</v>
      </c>
      <c r="S139" s="18">
        <v>0</v>
      </c>
      <c r="T139" s="100">
        <v>1.211</v>
      </c>
      <c r="U139" s="18">
        <v>0</v>
      </c>
      <c r="V139" s="18">
        <v>0</v>
      </c>
      <c r="W139" s="18">
        <v>0</v>
      </c>
      <c r="X139" s="18">
        <v>0</v>
      </c>
      <c r="Y139" s="107">
        <v>5.542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91">
        <f t="shared" si="25"/>
        <v>6.753</v>
      </c>
      <c r="AK139" s="5">
        <f>4963963*F139/653667.1</f>
        <v>26694.509694001732</v>
      </c>
      <c r="AL139" s="5">
        <f>3362538*F139/653567.1</f>
        <v>18085.355853438767</v>
      </c>
      <c r="AM139" s="5">
        <f>218982*F139/653567.1</f>
        <v>1177.7911195346278</v>
      </c>
    </row>
    <row r="140" spans="1:36" s="65" customFormat="1" ht="15.75">
      <c r="A140" s="56">
        <v>135</v>
      </c>
      <c r="B140" s="57" t="s">
        <v>178</v>
      </c>
      <c r="C140" s="58">
        <v>1911</v>
      </c>
      <c r="D140" s="58">
        <v>2</v>
      </c>
      <c r="E140" s="58">
        <v>8</v>
      </c>
      <c r="F140" s="58">
        <v>290.8</v>
      </c>
      <c r="G140" s="59"/>
      <c r="H140" s="58">
        <f>290.8*0</f>
        <v>0</v>
      </c>
      <c r="I140" s="58"/>
      <c r="J140" s="58"/>
      <c r="K140" s="57">
        <v>1</v>
      </c>
      <c r="L140" s="60" t="s">
        <v>336</v>
      </c>
      <c r="M140" s="61">
        <v>0</v>
      </c>
      <c r="N140" s="61">
        <v>0</v>
      </c>
      <c r="O140" s="62">
        <f t="shared" si="24"/>
        <v>0</v>
      </c>
      <c r="P140" s="78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4">
        <f t="shared" si="25"/>
        <v>0</v>
      </c>
    </row>
    <row r="141" spans="1:36" s="65" customFormat="1" ht="15.75">
      <c r="A141" s="56">
        <v>136</v>
      </c>
      <c r="B141" s="57" t="s">
        <v>179</v>
      </c>
      <c r="C141" s="58">
        <v>1917</v>
      </c>
      <c r="D141" s="58">
        <v>2</v>
      </c>
      <c r="E141" s="58">
        <v>4</v>
      </c>
      <c r="F141" s="58">
        <v>341.6</v>
      </c>
      <c r="G141" s="59"/>
      <c r="H141" s="58">
        <f>341.6*0</f>
        <v>0</v>
      </c>
      <c r="I141" s="58"/>
      <c r="J141" s="58"/>
      <c r="K141" s="57">
        <v>1</v>
      </c>
      <c r="L141" s="60" t="s">
        <v>336</v>
      </c>
      <c r="M141" s="61">
        <v>0</v>
      </c>
      <c r="N141" s="61">
        <v>0</v>
      </c>
      <c r="O141" s="62">
        <f t="shared" si="24"/>
        <v>0</v>
      </c>
      <c r="P141" s="78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4">
        <f t="shared" si="25"/>
        <v>0</v>
      </c>
    </row>
    <row r="142" spans="1:36" s="65" customFormat="1" ht="15.75">
      <c r="A142" s="56">
        <v>137</v>
      </c>
      <c r="B142" s="57" t="s">
        <v>180</v>
      </c>
      <c r="C142" s="58">
        <v>1917</v>
      </c>
      <c r="D142" s="58">
        <v>2</v>
      </c>
      <c r="E142" s="58">
        <v>2</v>
      </c>
      <c r="F142" s="58">
        <v>150.8</v>
      </c>
      <c r="G142" s="58"/>
      <c r="H142" s="58">
        <f>150.8*0</f>
        <v>0</v>
      </c>
      <c r="I142" s="58"/>
      <c r="J142" s="58"/>
      <c r="K142" s="57">
        <v>2</v>
      </c>
      <c r="L142" s="60" t="s">
        <v>336</v>
      </c>
      <c r="M142" s="61">
        <v>0</v>
      </c>
      <c r="N142" s="61">
        <v>0</v>
      </c>
      <c r="O142" s="62">
        <f t="shared" si="24"/>
        <v>0</v>
      </c>
      <c r="P142" s="78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4">
        <f t="shared" si="25"/>
        <v>0</v>
      </c>
    </row>
    <row r="143" spans="1:36" s="93" customFormat="1" ht="15.75">
      <c r="A143" s="82">
        <v>138</v>
      </c>
      <c r="B143" s="94" t="s">
        <v>181</v>
      </c>
      <c r="C143" s="95">
        <v>1917</v>
      </c>
      <c r="D143" s="95">
        <v>2</v>
      </c>
      <c r="E143" s="95">
        <v>13</v>
      </c>
      <c r="F143" s="95">
        <v>980.4</v>
      </c>
      <c r="G143" s="85">
        <v>71.1</v>
      </c>
      <c r="H143" s="95">
        <f>909.3-I143</f>
        <v>483.13999999999993</v>
      </c>
      <c r="I143" s="95">
        <f>285.05+141.11</f>
        <v>426.16</v>
      </c>
      <c r="J143" s="95"/>
      <c r="K143" s="94">
        <v>2</v>
      </c>
      <c r="L143" s="87">
        <v>5.08</v>
      </c>
      <c r="M143" s="88">
        <f t="shared" si="23"/>
        <v>2454.3511999999996</v>
      </c>
      <c r="N143" s="88">
        <f aca="true" t="shared" si="26" ref="N143:N203">L143*H143*12</f>
        <v>29452.214399999997</v>
      </c>
      <c r="O143" s="89">
        <f t="shared" si="24"/>
        <v>28082.686430399997</v>
      </c>
      <c r="P143" s="90">
        <v>0</v>
      </c>
      <c r="Q143" s="91">
        <v>0</v>
      </c>
      <c r="R143" s="91">
        <v>0</v>
      </c>
      <c r="S143" s="91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91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92">
        <f t="shared" si="25"/>
        <v>0</v>
      </c>
    </row>
    <row r="144" spans="1:39" ht="15.75">
      <c r="A144" s="12">
        <v>139</v>
      </c>
      <c r="B144" s="13" t="s">
        <v>182</v>
      </c>
      <c r="C144" s="14">
        <v>1969</v>
      </c>
      <c r="D144" s="14">
        <v>5</v>
      </c>
      <c r="E144" s="14">
        <v>56</v>
      </c>
      <c r="F144" s="14">
        <v>3661.6</v>
      </c>
      <c r="G144" s="8">
        <v>868.9</v>
      </c>
      <c r="H144" s="14">
        <v>2792.7</v>
      </c>
      <c r="I144" s="14"/>
      <c r="J144" s="14">
        <v>1886.8</v>
      </c>
      <c r="K144" s="20">
        <v>4</v>
      </c>
      <c r="L144" s="10">
        <v>5.08</v>
      </c>
      <c r="M144" s="16">
        <f t="shared" si="23"/>
        <v>14186.916</v>
      </c>
      <c r="N144" s="16">
        <f>M144*$N$1</f>
        <v>170242.992</v>
      </c>
      <c r="O144" s="17">
        <f t="shared" si="24"/>
        <v>162326.692872</v>
      </c>
      <c r="P144" s="103">
        <v>14.824</v>
      </c>
      <c r="Q144" s="142">
        <v>51.158</v>
      </c>
      <c r="R144" s="18">
        <v>0</v>
      </c>
      <c r="S144" s="18">
        <v>0</v>
      </c>
      <c r="T144" s="100">
        <v>82.05</v>
      </c>
      <c r="U144" s="96">
        <f>0.835</f>
        <v>0.835</v>
      </c>
      <c r="V144" s="104">
        <v>0.695</v>
      </c>
      <c r="W144" s="18">
        <v>0</v>
      </c>
      <c r="X144" s="18">
        <v>0</v>
      </c>
      <c r="Y144" s="107">
        <v>11.084</v>
      </c>
      <c r="Z144" s="18">
        <v>0</v>
      </c>
      <c r="AA144" s="110">
        <v>48.794</v>
      </c>
      <c r="AB144" s="18">
        <v>0</v>
      </c>
      <c r="AC144" s="186">
        <f>4.8666+18.14139</f>
        <v>23.00799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91">
        <f t="shared" si="25"/>
        <v>232.44799</v>
      </c>
      <c r="AK144" s="5">
        <f>4963963*F144/653667.1</f>
        <v>27806.27466305096</v>
      </c>
      <c r="AL144" s="5">
        <f>3362538*F144/653567.1</f>
        <v>18838.569353934738</v>
      </c>
      <c r="AM144" s="5">
        <f>218982*F144/653567.1</f>
        <v>1226.843412405551</v>
      </c>
    </row>
    <row r="145" spans="1:39" ht="15.75">
      <c r="A145" s="12">
        <v>140</v>
      </c>
      <c r="B145" s="13" t="s">
        <v>183</v>
      </c>
      <c r="C145" s="14">
        <v>1967</v>
      </c>
      <c r="D145" s="14">
        <v>5</v>
      </c>
      <c r="E145" s="14">
        <v>80</v>
      </c>
      <c r="F145" s="14">
        <v>3245.1</v>
      </c>
      <c r="G145" s="8">
        <v>0</v>
      </c>
      <c r="H145" s="14">
        <v>3245.1</v>
      </c>
      <c r="I145" s="14"/>
      <c r="J145" s="14">
        <v>2117.8</v>
      </c>
      <c r="K145" s="20">
        <v>4</v>
      </c>
      <c r="L145" s="10">
        <v>5.08</v>
      </c>
      <c r="M145" s="16">
        <f t="shared" si="23"/>
        <v>16485.108</v>
      </c>
      <c r="N145" s="16">
        <f t="shared" si="26"/>
        <v>197821.296</v>
      </c>
      <c r="O145" s="17">
        <f t="shared" si="24"/>
        <v>188622.605736</v>
      </c>
      <c r="P145" s="77">
        <v>0</v>
      </c>
      <c r="Q145" s="18">
        <v>0</v>
      </c>
      <c r="R145" s="18">
        <v>0</v>
      </c>
      <c r="S145" s="18">
        <v>0</v>
      </c>
      <c r="T145" s="18">
        <v>0</v>
      </c>
      <c r="U145" s="96">
        <f>0.185</f>
        <v>0.185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7">
        <f>1.162+3.10458</f>
        <v>4.266579999999999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91">
        <f t="shared" si="25"/>
        <v>4.451579999999999</v>
      </c>
      <c r="AK145" s="5">
        <f>4963963*F145/653667.1</f>
        <v>24643.364078290004</v>
      </c>
      <c r="AL145" s="5">
        <f>3362538*F145/653567.1</f>
        <v>16695.71810423138</v>
      </c>
      <c r="AM145" s="5">
        <f>218982*F145/653567.1</f>
        <v>1087.2923196409365</v>
      </c>
    </row>
    <row r="146" spans="1:39" ht="15.75">
      <c r="A146" s="12">
        <v>141</v>
      </c>
      <c r="B146" s="13" t="s">
        <v>184</v>
      </c>
      <c r="C146" s="14">
        <v>1973</v>
      </c>
      <c r="D146" s="14">
        <v>5</v>
      </c>
      <c r="E146" s="14">
        <v>39</v>
      </c>
      <c r="F146" s="14">
        <v>1750.2</v>
      </c>
      <c r="G146" s="8">
        <v>194.4</v>
      </c>
      <c r="H146" s="14">
        <v>1555.8</v>
      </c>
      <c r="I146" s="14"/>
      <c r="J146" s="14">
        <v>948.2</v>
      </c>
      <c r="K146" s="20">
        <v>2</v>
      </c>
      <c r="L146" s="10">
        <v>5.08</v>
      </c>
      <c r="M146" s="16">
        <f t="shared" si="23"/>
        <v>7903.464</v>
      </c>
      <c r="N146" s="16">
        <f t="shared" si="26"/>
        <v>94841.568</v>
      </c>
      <c r="O146" s="17">
        <f t="shared" si="24"/>
        <v>90431.435088</v>
      </c>
      <c r="P146" s="77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9">
        <f t="shared" si="25"/>
        <v>0</v>
      </c>
      <c r="AK146" s="5">
        <f>4963963*F146/653667.1</f>
        <v>13291.059076707395</v>
      </c>
      <c r="AL146" s="5">
        <f>3362538*F146/653567.1</f>
        <v>9004.605659617811</v>
      </c>
      <c r="AM146" s="5">
        <f>218982*F146/653567.1</f>
        <v>586.4161405921443</v>
      </c>
    </row>
    <row r="147" spans="1:39" ht="15.75">
      <c r="A147" s="12">
        <v>142</v>
      </c>
      <c r="B147" s="13" t="s">
        <v>185</v>
      </c>
      <c r="C147" s="14">
        <v>1958</v>
      </c>
      <c r="D147" s="14">
        <v>3</v>
      </c>
      <c r="E147" s="14">
        <v>27</v>
      </c>
      <c r="F147" s="14">
        <v>1520.4</v>
      </c>
      <c r="G147" s="8">
        <v>216</v>
      </c>
      <c r="H147" s="14">
        <v>1304.4</v>
      </c>
      <c r="I147" s="14"/>
      <c r="J147" s="14">
        <v>764.6</v>
      </c>
      <c r="K147" s="10">
        <v>2</v>
      </c>
      <c r="L147" s="10">
        <v>5.08</v>
      </c>
      <c r="M147" s="16">
        <f t="shared" si="23"/>
        <v>6626.352000000001</v>
      </c>
      <c r="N147" s="16">
        <f t="shared" si="26"/>
        <v>79516.22400000002</v>
      </c>
      <c r="O147" s="17">
        <f t="shared" si="24"/>
        <v>75818.71958400002</v>
      </c>
      <c r="P147" s="77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07">
        <v>7.532</v>
      </c>
      <c r="Z147" s="106">
        <v>10.068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91">
        <f t="shared" si="25"/>
        <v>17.6</v>
      </c>
      <c r="AK147" s="5">
        <f>4963963*F147/653667.1</f>
        <v>11545.95258840471</v>
      </c>
      <c r="AL147" s="5">
        <f>3362538*F147/653567.1</f>
        <v>7822.307419085203</v>
      </c>
      <c r="AM147" s="5">
        <f>218982*F147/653567.1</f>
        <v>509.4201235037688</v>
      </c>
    </row>
    <row r="148" spans="1:36" s="65" customFormat="1" ht="15.75">
      <c r="A148" s="56">
        <v>143</v>
      </c>
      <c r="B148" s="57" t="s">
        <v>186</v>
      </c>
      <c r="C148" s="58">
        <v>1914</v>
      </c>
      <c r="D148" s="58">
        <v>2</v>
      </c>
      <c r="E148" s="58">
        <v>2</v>
      </c>
      <c r="F148" s="58">
        <v>152.68</v>
      </c>
      <c r="G148" s="58"/>
      <c r="H148" s="58">
        <f>152.68*0</f>
        <v>0</v>
      </c>
      <c r="I148" s="58"/>
      <c r="J148" s="58"/>
      <c r="K148" s="57">
        <v>1</v>
      </c>
      <c r="L148" s="60" t="s">
        <v>336</v>
      </c>
      <c r="M148" s="61">
        <v>0</v>
      </c>
      <c r="N148" s="61">
        <v>0</v>
      </c>
      <c r="O148" s="62">
        <f t="shared" si="24"/>
        <v>0</v>
      </c>
      <c r="P148" s="78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4">
        <f t="shared" si="25"/>
        <v>0</v>
      </c>
    </row>
    <row r="149" spans="1:36" s="93" customFormat="1" ht="13.5" customHeight="1">
      <c r="A149" s="82">
        <v>144</v>
      </c>
      <c r="B149" s="94" t="s">
        <v>187</v>
      </c>
      <c r="C149" s="95">
        <v>1914</v>
      </c>
      <c r="D149" s="95">
        <v>2</v>
      </c>
      <c r="E149" s="95">
        <v>6</v>
      </c>
      <c r="F149" s="95">
        <v>255.2</v>
      </c>
      <c r="G149" s="95"/>
      <c r="H149" s="95">
        <f>255.2-I149</f>
        <v>169.5</v>
      </c>
      <c r="I149" s="95">
        <v>85.7</v>
      </c>
      <c r="J149" s="95"/>
      <c r="K149" s="94">
        <v>1</v>
      </c>
      <c r="L149" s="87">
        <v>5.08</v>
      </c>
      <c r="M149" s="88">
        <f t="shared" si="23"/>
        <v>861.0600000000001</v>
      </c>
      <c r="N149" s="88">
        <f>M149*$N$1</f>
        <v>10332.720000000001</v>
      </c>
      <c r="O149" s="89">
        <f t="shared" si="24"/>
        <v>9852.248520000001</v>
      </c>
      <c r="P149" s="90">
        <v>0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92">
        <f t="shared" si="25"/>
        <v>0</v>
      </c>
    </row>
    <row r="150" spans="1:36" s="93" customFormat="1" ht="15.75">
      <c r="A150" s="82">
        <v>145</v>
      </c>
      <c r="B150" s="94" t="s">
        <v>188</v>
      </c>
      <c r="C150" s="95">
        <v>1955</v>
      </c>
      <c r="D150" s="95">
        <v>2</v>
      </c>
      <c r="E150" s="95">
        <v>8</v>
      </c>
      <c r="F150" s="95">
        <v>411.6</v>
      </c>
      <c r="G150" s="85"/>
      <c r="H150" s="95">
        <f>411.6-I150</f>
        <v>224.07000000000002</v>
      </c>
      <c r="I150" s="95">
        <f>95.02+92.51</f>
        <v>187.53</v>
      </c>
      <c r="J150" s="95"/>
      <c r="K150" s="94">
        <v>1</v>
      </c>
      <c r="L150" s="87">
        <v>5.08</v>
      </c>
      <c r="M150" s="88">
        <f t="shared" si="23"/>
        <v>1138.2756000000002</v>
      </c>
      <c r="N150" s="88">
        <f t="shared" si="26"/>
        <v>13659.307200000003</v>
      </c>
      <c r="O150" s="89">
        <f t="shared" si="24"/>
        <v>13024.149415200003</v>
      </c>
      <c r="P150" s="90">
        <v>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92">
        <f t="shared" si="25"/>
        <v>0</v>
      </c>
    </row>
    <row r="151" spans="1:36" s="320" customFormat="1" ht="15.75">
      <c r="A151" s="295">
        <v>146</v>
      </c>
      <c r="B151" s="304" t="s">
        <v>189</v>
      </c>
      <c r="C151" s="305">
        <v>1951</v>
      </c>
      <c r="D151" s="305">
        <v>2</v>
      </c>
      <c r="E151" s="305">
        <v>8</v>
      </c>
      <c r="F151" s="305">
        <v>377.8</v>
      </c>
      <c r="G151" s="305"/>
      <c r="H151" s="305">
        <v>377.8</v>
      </c>
      <c r="I151" s="305"/>
      <c r="J151" s="305"/>
      <c r="K151" s="304">
        <v>1</v>
      </c>
      <c r="L151" s="190">
        <v>5.08</v>
      </c>
      <c r="M151" s="297">
        <f t="shared" si="23"/>
        <v>1919.2240000000002</v>
      </c>
      <c r="N151" s="297">
        <f t="shared" si="26"/>
        <v>23030.688000000002</v>
      </c>
      <c r="O151" s="298">
        <f t="shared" si="24"/>
        <v>21959.761008</v>
      </c>
      <c r="P151" s="102">
        <v>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1">
        <v>0</v>
      </c>
      <c r="Y151" s="101">
        <v>0</v>
      </c>
      <c r="Z151" s="101">
        <v>0</v>
      </c>
      <c r="AA151" s="101">
        <v>0</v>
      </c>
      <c r="AB151" s="101">
        <v>0</v>
      </c>
      <c r="AC151" s="101">
        <v>0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101">
        <v>0</v>
      </c>
      <c r="AJ151" s="302">
        <f t="shared" si="25"/>
        <v>0</v>
      </c>
    </row>
    <row r="152" spans="1:39" ht="15.75">
      <c r="A152" s="308">
        <v>147</v>
      </c>
      <c r="B152" s="309" t="s">
        <v>190</v>
      </c>
      <c r="C152" s="310">
        <v>1965</v>
      </c>
      <c r="D152" s="310">
        <v>5</v>
      </c>
      <c r="E152" s="310">
        <v>80</v>
      </c>
      <c r="F152" s="310">
        <v>3209.3</v>
      </c>
      <c r="G152" s="311">
        <v>0</v>
      </c>
      <c r="H152" s="310">
        <v>3209.3</v>
      </c>
      <c r="I152" s="310"/>
      <c r="J152" s="310">
        <v>2089.7</v>
      </c>
      <c r="K152" s="312">
        <v>4</v>
      </c>
      <c r="L152" s="131">
        <v>5.08</v>
      </c>
      <c r="M152" s="313">
        <f t="shared" si="23"/>
        <v>16303.244</v>
      </c>
      <c r="N152" s="313">
        <f t="shared" si="26"/>
        <v>195638.928</v>
      </c>
      <c r="O152" s="314">
        <f t="shared" si="24"/>
        <v>186541.71784800003</v>
      </c>
      <c r="P152" s="315">
        <v>0</v>
      </c>
      <c r="Q152" s="316">
        <v>0</v>
      </c>
      <c r="R152" s="316">
        <v>0</v>
      </c>
      <c r="S152" s="316">
        <v>0</v>
      </c>
      <c r="T152" s="316">
        <v>0</v>
      </c>
      <c r="U152" s="316">
        <v>0</v>
      </c>
      <c r="V152" s="316">
        <v>0</v>
      </c>
      <c r="W152" s="316">
        <v>0</v>
      </c>
      <c r="X152" s="316">
        <v>0</v>
      </c>
      <c r="Y152" s="316">
        <v>0</v>
      </c>
      <c r="Z152" s="316">
        <v>0</v>
      </c>
      <c r="AA152" s="317">
        <v>1.158</v>
      </c>
      <c r="AB152" s="316">
        <v>0</v>
      </c>
      <c r="AC152" s="318">
        <f>2.329+12.094266</f>
        <v>14.423266</v>
      </c>
      <c r="AD152" s="316">
        <v>0</v>
      </c>
      <c r="AE152" s="316">
        <v>0</v>
      </c>
      <c r="AF152" s="316">
        <v>0</v>
      </c>
      <c r="AG152" s="316">
        <v>0</v>
      </c>
      <c r="AH152" s="316">
        <v>0</v>
      </c>
      <c r="AI152" s="316">
        <v>0</v>
      </c>
      <c r="AJ152" s="319">
        <f t="shared" si="25"/>
        <v>15.581266</v>
      </c>
      <c r="AK152" s="5">
        <f>4963963*F152/653667.1</f>
        <v>24371.498054437805</v>
      </c>
      <c r="AL152" s="5">
        <f>3362538*F152/653567.1</f>
        <v>16511.530649875127</v>
      </c>
      <c r="AM152" s="5">
        <f>218982*F152/653567.1</f>
        <v>1075.2972917394404</v>
      </c>
    </row>
    <row r="153" spans="1:39" ht="15.75">
      <c r="A153" s="12">
        <v>148</v>
      </c>
      <c r="B153" s="13" t="s">
        <v>191</v>
      </c>
      <c r="C153" s="14" t="s">
        <v>142</v>
      </c>
      <c r="D153" s="14">
        <v>2</v>
      </c>
      <c r="E153" s="14">
        <v>8</v>
      </c>
      <c r="F153" s="14">
        <v>404.8</v>
      </c>
      <c r="G153" s="8">
        <v>0</v>
      </c>
      <c r="H153" s="14">
        <v>404.8</v>
      </c>
      <c r="I153" s="14"/>
      <c r="J153" s="14">
        <v>279.9</v>
      </c>
      <c r="K153" s="20">
        <v>2</v>
      </c>
      <c r="L153" s="10">
        <v>5.08</v>
      </c>
      <c r="M153" s="16">
        <f t="shared" si="23"/>
        <v>2056.384</v>
      </c>
      <c r="N153" s="16">
        <f t="shared" si="26"/>
        <v>24676.608</v>
      </c>
      <c r="O153" s="17">
        <f t="shared" si="24"/>
        <v>23529.145728</v>
      </c>
      <c r="P153" s="77">
        <v>0</v>
      </c>
      <c r="Q153" s="142">
        <v>10.176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07">
        <v>1.203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91">
        <f t="shared" si="25"/>
        <v>11.379</v>
      </c>
      <c r="AK153" s="5">
        <f>4963963*F153/653667.1</f>
        <v>3074.060515513172</v>
      </c>
      <c r="AL153" s="5">
        <f>3362538*F153/653567.1</f>
        <v>2082.6559084751975</v>
      </c>
      <c r="AM153" s="5">
        <f>218982*F153/653567.1</f>
        <v>135.63093001468405</v>
      </c>
    </row>
    <row r="154" spans="1:39" ht="15.75">
      <c r="A154" s="12">
        <v>149</v>
      </c>
      <c r="B154" s="13" t="s">
        <v>192</v>
      </c>
      <c r="C154" s="14">
        <v>1955</v>
      </c>
      <c r="D154" s="14">
        <v>2</v>
      </c>
      <c r="E154" s="14">
        <v>8</v>
      </c>
      <c r="F154" s="14">
        <v>396.4</v>
      </c>
      <c r="G154" s="8">
        <v>0</v>
      </c>
      <c r="H154" s="14">
        <v>396.4</v>
      </c>
      <c r="I154" s="14"/>
      <c r="J154" s="14">
        <v>274.4</v>
      </c>
      <c r="K154" s="20">
        <v>2</v>
      </c>
      <c r="L154" s="10">
        <v>5.08</v>
      </c>
      <c r="M154" s="16">
        <f t="shared" si="23"/>
        <v>2013.712</v>
      </c>
      <c r="N154" s="16">
        <f t="shared" si="26"/>
        <v>24164.544</v>
      </c>
      <c r="O154" s="17">
        <f t="shared" si="24"/>
        <v>23040.892704</v>
      </c>
      <c r="P154" s="103">
        <v>15.332</v>
      </c>
      <c r="Q154" s="142">
        <v>0.122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91">
        <f t="shared" si="25"/>
        <v>15.454</v>
      </c>
      <c r="AK154" s="5">
        <f>4963963*F154/653667.1</f>
        <v>3010.270722207068</v>
      </c>
      <c r="AL154" s="5">
        <f>3362538*F154/653567.1</f>
        <v>2039.4387404139527</v>
      </c>
      <c r="AM154" s="5">
        <f>218982*F154/653567.1</f>
        <v>132.81645419422122</v>
      </c>
    </row>
    <row r="155" spans="1:39" ht="15.75">
      <c r="A155" s="12">
        <v>150</v>
      </c>
      <c r="B155" s="13" t="s">
        <v>193</v>
      </c>
      <c r="C155" s="14">
        <v>1955</v>
      </c>
      <c r="D155" s="14">
        <v>2</v>
      </c>
      <c r="E155" s="14">
        <v>8</v>
      </c>
      <c r="F155" s="14">
        <v>386.8</v>
      </c>
      <c r="G155" s="8">
        <v>0</v>
      </c>
      <c r="H155" s="14">
        <v>386.8</v>
      </c>
      <c r="I155" s="14"/>
      <c r="J155" s="14">
        <v>268.7</v>
      </c>
      <c r="K155" s="20">
        <v>2</v>
      </c>
      <c r="L155" s="10">
        <v>5.08</v>
      </c>
      <c r="M155" s="16">
        <f t="shared" si="23"/>
        <v>1964.9440000000002</v>
      </c>
      <c r="N155" s="16">
        <f t="shared" si="26"/>
        <v>23579.328</v>
      </c>
      <c r="O155" s="17">
        <f t="shared" si="24"/>
        <v>22482.889248000003</v>
      </c>
      <c r="P155" s="103">
        <v>0.743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91">
        <f t="shared" si="25"/>
        <v>0.743</v>
      </c>
      <c r="AK155" s="5">
        <f>4963963*F155/653667.1</f>
        <v>2937.368101285808</v>
      </c>
      <c r="AL155" s="5">
        <f>3362538*F155/653567.1</f>
        <v>1990.0476912011027</v>
      </c>
      <c r="AM155" s="5">
        <f>218982*F155/653567.1</f>
        <v>129.5999103994066</v>
      </c>
    </row>
    <row r="156" spans="1:39" ht="15.75">
      <c r="A156" s="12">
        <v>151</v>
      </c>
      <c r="B156" s="13" t="s">
        <v>194</v>
      </c>
      <c r="C156" s="14">
        <v>1955</v>
      </c>
      <c r="D156" s="14">
        <v>2</v>
      </c>
      <c r="E156" s="14">
        <v>8</v>
      </c>
      <c r="F156" s="14">
        <v>383.5</v>
      </c>
      <c r="G156" s="8">
        <v>0</v>
      </c>
      <c r="H156" s="14">
        <v>383.5</v>
      </c>
      <c r="I156" s="14"/>
      <c r="J156" s="14">
        <v>265.4</v>
      </c>
      <c r="K156" s="20">
        <v>2</v>
      </c>
      <c r="L156" s="10">
        <v>5.08</v>
      </c>
      <c r="M156" s="16">
        <f t="shared" si="23"/>
        <v>1948.18</v>
      </c>
      <c r="N156" s="16">
        <f>M156*$N$1</f>
        <v>23378.16</v>
      </c>
      <c r="O156" s="17">
        <f t="shared" si="24"/>
        <v>22291.07556</v>
      </c>
      <c r="P156" s="77">
        <v>0</v>
      </c>
      <c r="Q156" s="142">
        <v>4.165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91">
        <f t="shared" si="25"/>
        <v>4.165</v>
      </c>
      <c r="AK156" s="5">
        <f>4963963*F156/653667.1</f>
        <v>2912.307825344124</v>
      </c>
      <c r="AL156" s="5">
        <f>3362538*F156/653567.1</f>
        <v>1973.0695180341852</v>
      </c>
      <c r="AM156" s="5">
        <f>218982*F156/653567.1</f>
        <v>128.49422346993904</v>
      </c>
    </row>
    <row r="157" spans="1:36" s="93" customFormat="1" ht="15.75">
      <c r="A157" s="82">
        <v>152</v>
      </c>
      <c r="B157" s="94" t="s">
        <v>195</v>
      </c>
      <c r="C157" s="95">
        <v>1959</v>
      </c>
      <c r="D157" s="95">
        <v>2</v>
      </c>
      <c r="E157" s="95">
        <v>7</v>
      </c>
      <c r="F157" s="95">
        <v>368.3</v>
      </c>
      <c r="G157" s="85"/>
      <c r="H157" s="95">
        <f>368.3-I157</f>
        <v>347.75</v>
      </c>
      <c r="I157" s="95">
        <v>20.55</v>
      </c>
      <c r="J157" s="95"/>
      <c r="K157" s="94">
        <v>1</v>
      </c>
      <c r="L157" s="87">
        <v>5.08</v>
      </c>
      <c r="M157" s="88">
        <f t="shared" si="23"/>
        <v>1766.57</v>
      </c>
      <c r="N157" s="88">
        <f t="shared" si="26"/>
        <v>21198.84</v>
      </c>
      <c r="O157" s="89">
        <f t="shared" si="24"/>
        <v>20213.09394</v>
      </c>
      <c r="P157" s="90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0</v>
      </c>
      <c r="AJ157" s="92">
        <f t="shared" si="25"/>
        <v>0</v>
      </c>
    </row>
    <row r="158" spans="1:36" s="55" customFormat="1" ht="15.75">
      <c r="A158" s="45">
        <v>153</v>
      </c>
      <c r="B158" s="46" t="s">
        <v>196</v>
      </c>
      <c r="C158" s="47" t="s">
        <v>197</v>
      </c>
      <c r="D158" s="47">
        <v>2</v>
      </c>
      <c r="E158" s="47">
        <v>8</v>
      </c>
      <c r="F158" s="47">
        <v>399.7</v>
      </c>
      <c r="G158" s="48">
        <v>0</v>
      </c>
      <c r="H158" s="47">
        <f>399.7-I158</f>
        <v>113.09999999999997</v>
      </c>
      <c r="I158" s="47">
        <f>149.8+136.8</f>
        <v>286.6</v>
      </c>
      <c r="J158" s="47">
        <v>256.5</v>
      </c>
      <c r="K158" s="66">
        <v>1</v>
      </c>
      <c r="L158" s="50">
        <v>5.08</v>
      </c>
      <c r="M158" s="51">
        <f t="shared" si="23"/>
        <v>574.5479999999999</v>
      </c>
      <c r="N158" s="51">
        <f t="shared" si="26"/>
        <v>6894.575999999999</v>
      </c>
      <c r="O158" s="52">
        <f t="shared" si="24"/>
        <v>6573.9782159999995</v>
      </c>
      <c r="P158" s="79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0</v>
      </c>
      <c r="AI158" s="53">
        <v>0</v>
      </c>
      <c r="AJ158" s="54">
        <f t="shared" si="25"/>
        <v>0</v>
      </c>
    </row>
    <row r="159" spans="1:36" s="93" customFormat="1" ht="15.75">
      <c r="A159" s="82">
        <v>154</v>
      </c>
      <c r="B159" s="94" t="s">
        <v>198</v>
      </c>
      <c r="C159" s="95">
        <v>1959</v>
      </c>
      <c r="D159" s="95">
        <v>2</v>
      </c>
      <c r="E159" s="95">
        <v>8</v>
      </c>
      <c r="F159" s="95">
        <v>280.9</v>
      </c>
      <c r="G159" s="85"/>
      <c r="H159" s="95">
        <f>280.9-I159</f>
        <v>74.89999999999998</v>
      </c>
      <c r="I159" s="95">
        <f>31.5+174.5</f>
        <v>206</v>
      </c>
      <c r="J159" s="95"/>
      <c r="K159" s="94">
        <v>2</v>
      </c>
      <c r="L159" s="87">
        <v>5.08</v>
      </c>
      <c r="M159" s="88">
        <f t="shared" si="23"/>
        <v>380.4919999999999</v>
      </c>
      <c r="N159" s="88">
        <f t="shared" si="26"/>
        <v>4565.903999999999</v>
      </c>
      <c r="O159" s="89">
        <f t="shared" si="24"/>
        <v>4353.589463999999</v>
      </c>
      <c r="P159" s="90">
        <v>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1.616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0</v>
      </c>
      <c r="AF159" s="91">
        <v>0</v>
      </c>
      <c r="AG159" s="91">
        <v>0</v>
      </c>
      <c r="AH159" s="91">
        <v>0</v>
      </c>
      <c r="AI159" s="91">
        <v>0</v>
      </c>
      <c r="AJ159" s="92">
        <f t="shared" si="25"/>
        <v>1.616</v>
      </c>
    </row>
    <row r="160" spans="1:36" s="65" customFormat="1" ht="15.75">
      <c r="A160" s="56">
        <v>155</v>
      </c>
      <c r="B160" s="57" t="s">
        <v>199</v>
      </c>
      <c r="C160" s="58">
        <v>1917</v>
      </c>
      <c r="D160" s="58">
        <v>2</v>
      </c>
      <c r="E160" s="58">
        <v>4</v>
      </c>
      <c r="F160" s="58">
        <v>270.8</v>
      </c>
      <c r="G160" s="58"/>
      <c r="H160" s="58">
        <f>270.8*0</f>
        <v>0</v>
      </c>
      <c r="I160" s="58"/>
      <c r="J160" s="58"/>
      <c r="K160" s="57">
        <v>1</v>
      </c>
      <c r="L160" s="60" t="s">
        <v>336</v>
      </c>
      <c r="M160" s="61">
        <v>0</v>
      </c>
      <c r="N160" s="61">
        <v>0</v>
      </c>
      <c r="O160" s="62">
        <f t="shared" si="24"/>
        <v>0</v>
      </c>
      <c r="P160" s="78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4">
        <f t="shared" si="25"/>
        <v>0</v>
      </c>
    </row>
    <row r="161" spans="1:36" s="55" customFormat="1" ht="15.75">
      <c r="A161" s="45">
        <v>156</v>
      </c>
      <c r="B161" s="46" t="s">
        <v>200</v>
      </c>
      <c r="C161" s="47" t="s">
        <v>30</v>
      </c>
      <c r="D161" s="47">
        <v>3</v>
      </c>
      <c r="E161" s="47">
        <v>18</v>
      </c>
      <c r="F161" s="47">
        <v>1317.6</v>
      </c>
      <c r="G161" s="48">
        <v>0</v>
      </c>
      <c r="H161" s="47">
        <f>1317.6-I161</f>
        <v>247.26999999999998</v>
      </c>
      <c r="I161" s="47">
        <f>436.45+633.88</f>
        <v>1070.33</v>
      </c>
      <c r="J161" s="47">
        <v>877</v>
      </c>
      <c r="K161" s="66">
        <v>3</v>
      </c>
      <c r="L161" s="50">
        <v>5.08</v>
      </c>
      <c r="M161" s="51">
        <f t="shared" si="23"/>
        <v>1256.1316</v>
      </c>
      <c r="N161" s="51">
        <f>M161*$N$1</f>
        <v>15073.5792</v>
      </c>
      <c r="O161" s="52">
        <f t="shared" si="24"/>
        <v>14372.6577672</v>
      </c>
      <c r="P161" s="103">
        <v>16.237</v>
      </c>
      <c r="Q161" s="53">
        <v>0</v>
      </c>
      <c r="R161" s="53">
        <v>0</v>
      </c>
      <c r="S161" s="53">
        <v>0</v>
      </c>
      <c r="T161" s="53">
        <v>0</v>
      </c>
      <c r="U161" s="96">
        <v>17.709</v>
      </c>
      <c r="V161" s="53">
        <v>0</v>
      </c>
      <c r="W161" s="53">
        <v>0</v>
      </c>
      <c r="X161" s="53">
        <v>0</v>
      </c>
      <c r="Y161" s="107">
        <v>3.232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4">
        <f t="shared" si="25"/>
        <v>37.178</v>
      </c>
    </row>
    <row r="162" spans="1:36" s="93" customFormat="1" ht="15.75">
      <c r="A162" s="82">
        <v>157</v>
      </c>
      <c r="B162" s="94" t="s">
        <v>201</v>
      </c>
      <c r="C162" s="95">
        <v>1956</v>
      </c>
      <c r="D162" s="95">
        <v>2</v>
      </c>
      <c r="E162" s="95">
        <v>8</v>
      </c>
      <c r="F162" s="95">
        <v>375.7</v>
      </c>
      <c r="G162" s="85"/>
      <c r="H162" s="95">
        <f>375.7-I162</f>
        <v>229.5</v>
      </c>
      <c r="I162" s="95">
        <f>60.1+86.1</f>
        <v>146.2</v>
      </c>
      <c r="J162" s="95"/>
      <c r="K162" s="94">
        <v>1</v>
      </c>
      <c r="L162" s="87">
        <v>5.08</v>
      </c>
      <c r="M162" s="88">
        <f t="shared" si="23"/>
        <v>1165.8600000000001</v>
      </c>
      <c r="N162" s="88">
        <f t="shared" si="26"/>
        <v>13990.320000000002</v>
      </c>
      <c r="O162" s="89">
        <f t="shared" si="24"/>
        <v>13339.770120000001</v>
      </c>
      <c r="P162" s="90">
        <v>0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91">
        <v>0</v>
      </c>
      <c r="AD162" s="91">
        <v>0</v>
      </c>
      <c r="AE162" s="91">
        <v>0</v>
      </c>
      <c r="AF162" s="91">
        <v>0</v>
      </c>
      <c r="AG162" s="91">
        <v>0</v>
      </c>
      <c r="AH162" s="91">
        <v>0</v>
      </c>
      <c r="AI162" s="91">
        <v>0</v>
      </c>
      <c r="AJ162" s="92">
        <f t="shared" si="25"/>
        <v>0</v>
      </c>
    </row>
    <row r="163" spans="1:39" ht="15.75">
      <c r="A163" s="12">
        <v>158</v>
      </c>
      <c r="B163" s="13" t="s">
        <v>202</v>
      </c>
      <c r="C163" s="14" t="s">
        <v>203</v>
      </c>
      <c r="D163" s="14">
        <v>5</v>
      </c>
      <c r="E163" s="14">
        <v>133</v>
      </c>
      <c r="F163" s="14">
        <v>5718.8</v>
      </c>
      <c r="G163" s="8">
        <v>0</v>
      </c>
      <c r="H163" s="14">
        <v>5718.8</v>
      </c>
      <c r="I163" s="14"/>
      <c r="J163" s="14">
        <v>3417.83</v>
      </c>
      <c r="K163" s="20">
        <v>7</v>
      </c>
      <c r="L163" s="10">
        <v>5.08</v>
      </c>
      <c r="M163" s="16">
        <f t="shared" si="23"/>
        <v>29051.504</v>
      </c>
      <c r="N163" s="16">
        <f t="shared" si="26"/>
        <v>348618.048</v>
      </c>
      <c r="O163" s="17">
        <f t="shared" si="24"/>
        <v>332407.308768</v>
      </c>
      <c r="P163" s="103">
        <v>17.51</v>
      </c>
      <c r="Q163" s="142">
        <v>2.806</v>
      </c>
      <c r="R163" s="18">
        <v>0</v>
      </c>
      <c r="S163" s="18">
        <v>0</v>
      </c>
      <c r="T163" s="99">
        <f>121.063+148.966+128.905+128.905+63.977</f>
        <v>591.8159999999999</v>
      </c>
      <c r="U163" s="18">
        <v>0</v>
      </c>
      <c r="V163" s="104">
        <v>0.695</v>
      </c>
      <c r="W163" s="18">
        <v>0</v>
      </c>
      <c r="X163" s="278">
        <v>218.667</v>
      </c>
      <c r="Y163" s="107">
        <v>13.044</v>
      </c>
      <c r="Z163" s="18">
        <v>0</v>
      </c>
      <c r="AA163" s="110">
        <v>25.112</v>
      </c>
      <c r="AB163" s="18">
        <v>0</v>
      </c>
      <c r="AC163" s="186">
        <f>178.319117+0.148+1.167</f>
        <v>179.634117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91">
        <f t="shared" si="25"/>
        <v>1049.284117</v>
      </c>
      <c r="AK163" s="5">
        <f>4963963*F163/653667.1</f>
        <v>43428.69880463619</v>
      </c>
      <c r="AL163" s="5">
        <f>3362538*F163/653567.1</f>
        <v>29422.659608171834</v>
      </c>
      <c r="AM163" s="5">
        <f>218982*F163/653567.1</f>
        <v>1916.1219431027055</v>
      </c>
    </row>
    <row r="164" spans="1:39" ht="15.75">
      <c r="A164" s="12">
        <v>159</v>
      </c>
      <c r="B164" s="13" t="s">
        <v>204</v>
      </c>
      <c r="C164" s="14">
        <v>1958</v>
      </c>
      <c r="D164" s="14">
        <v>3</v>
      </c>
      <c r="E164" s="14">
        <v>16</v>
      </c>
      <c r="F164" s="14">
        <v>1569.7</v>
      </c>
      <c r="G164" s="8">
        <v>530.1</v>
      </c>
      <c r="H164" s="14">
        <v>1039.6</v>
      </c>
      <c r="I164" s="14"/>
      <c r="J164" s="14">
        <v>682.7</v>
      </c>
      <c r="K164" s="20">
        <v>4</v>
      </c>
      <c r="L164" s="10">
        <v>5.08</v>
      </c>
      <c r="M164" s="16">
        <f t="shared" si="23"/>
        <v>5281.168</v>
      </c>
      <c r="N164" s="16">
        <f t="shared" si="26"/>
        <v>63374.015999999996</v>
      </c>
      <c r="O164" s="17">
        <f t="shared" si="24"/>
        <v>60427.124255999996</v>
      </c>
      <c r="P164" s="77">
        <v>0</v>
      </c>
      <c r="Q164" s="142">
        <v>0.628</v>
      </c>
      <c r="R164" s="18">
        <v>0</v>
      </c>
      <c r="S164" s="18">
        <v>0</v>
      </c>
      <c r="T164" s="18">
        <v>0</v>
      </c>
      <c r="U164" s="96">
        <v>7.053</v>
      </c>
      <c r="V164" s="104">
        <v>12.126</v>
      </c>
      <c r="W164" s="18">
        <v>0</v>
      </c>
      <c r="X164" s="18">
        <v>0</v>
      </c>
      <c r="Y164" s="107">
        <v>1.616</v>
      </c>
      <c r="Z164" s="18">
        <v>0</v>
      </c>
      <c r="AA164" s="110">
        <v>2.348</v>
      </c>
      <c r="AB164" s="185">
        <v>0.575</v>
      </c>
      <c r="AC164" s="186">
        <v>2.02775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91">
        <f t="shared" si="25"/>
        <v>26.373749999999998</v>
      </c>
      <c r="AK164" s="5">
        <f>4963963*F164/653667.1</f>
        <v>11920.337922927436</v>
      </c>
      <c r="AL164" s="5">
        <f>3362538*F164/653567.1</f>
        <v>8075.9510363970285</v>
      </c>
      <c r="AM164" s="5">
        <f>218982*F164/653567.1</f>
        <v>525.9384161167233</v>
      </c>
    </row>
    <row r="165" spans="1:36" s="65" customFormat="1" ht="15.75">
      <c r="A165" s="56">
        <v>160</v>
      </c>
      <c r="B165" s="57" t="s">
        <v>205</v>
      </c>
      <c r="C165" s="58" t="s">
        <v>68</v>
      </c>
      <c r="D165" s="58">
        <v>2</v>
      </c>
      <c r="E165" s="58">
        <v>8</v>
      </c>
      <c r="F165" s="58">
        <v>295.2</v>
      </c>
      <c r="G165" s="59"/>
      <c r="H165" s="58">
        <f>295.2*0</f>
        <v>0</v>
      </c>
      <c r="I165" s="58"/>
      <c r="J165" s="58"/>
      <c r="K165" s="57">
        <v>1</v>
      </c>
      <c r="L165" s="60" t="s">
        <v>336</v>
      </c>
      <c r="M165" s="61">
        <v>0</v>
      </c>
      <c r="N165" s="61">
        <v>0</v>
      </c>
      <c r="O165" s="62">
        <f t="shared" si="24"/>
        <v>0</v>
      </c>
      <c r="P165" s="78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4">
        <f t="shared" si="25"/>
        <v>0</v>
      </c>
    </row>
    <row r="166" spans="1:36" s="93" customFormat="1" ht="15.75">
      <c r="A166" s="82">
        <v>161</v>
      </c>
      <c r="B166" s="94" t="s">
        <v>206</v>
      </c>
      <c r="C166" s="95">
        <v>1951</v>
      </c>
      <c r="D166" s="95">
        <v>2</v>
      </c>
      <c r="E166" s="95">
        <v>3</v>
      </c>
      <c r="F166" s="95">
        <v>178.3</v>
      </c>
      <c r="G166" s="85"/>
      <c r="H166" s="95">
        <v>178.3</v>
      </c>
      <c r="I166" s="95"/>
      <c r="J166" s="95"/>
      <c r="K166" s="94">
        <v>1</v>
      </c>
      <c r="L166" s="87">
        <v>5.08</v>
      </c>
      <c r="M166" s="88">
        <f t="shared" si="23"/>
        <v>905.7640000000001</v>
      </c>
      <c r="N166" s="88">
        <f t="shared" si="26"/>
        <v>10869.168000000001</v>
      </c>
      <c r="O166" s="89">
        <f t="shared" si="24"/>
        <v>10363.751688000002</v>
      </c>
      <c r="P166" s="90">
        <v>0</v>
      </c>
      <c r="Q166" s="91">
        <v>0</v>
      </c>
      <c r="R166" s="63">
        <v>0</v>
      </c>
      <c r="S166" s="91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92">
        <f t="shared" si="25"/>
        <v>0</v>
      </c>
    </row>
    <row r="167" spans="1:36" s="93" customFormat="1" ht="15.75">
      <c r="A167" s="82">
        <v>162</v>
      </c>
      <c r="B167" s="94" t="s">
        <v>207</v>
      </c>
      <c r="C167" s="95">
        <v>1956</v>
      </c>
      <c r="D167" s="95">
        <v>1</v>
      </c>
      <c r="E167" s="95">
        <v>4</v>
      </c>
      <c r="F167" s="95">
        <v>129.7</v>
      </c>
      <c r="G167" s="85"/>
      <c r="H167" s="95">
        <f>129.7-I167</f>
        <v>95.29999999999998</v>
      </c>
      <c r="I167" s="95">
        <v>34.4</v>
      </c>
      <c r="J167" s="95"/>
      <c r="K167" s="94">
        <v>1</v>
      </c>
      <c r="L167" s="87">
        <v>5.08</v>
      </c>
      <c r="M167" s="88">
        <f t="shared" si="23"/>
        <v>484.1239999999999</v>
      </c>
      <c r="N167" s="88">
        <f t="shared" si="26"/>
        <v>5809.487999999999</v>
      </c>
      <c r="O167" s="89">
        <f t="shared" si="24"/>
        <v>5539.346807999999</v>
      </c>
      <c r="P167" s="90">
        <v>0</v>
      </c>
      <c r="Q167" s="91">
        <v>0</v>
      </c>
      <c r="R167" s="63">
        <v>0</v>
      </c>
      <c r="S167" s="91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92">
        <f t="shared" si="25"/>
        <v>0</v>
      </c>
    </row>
    <row r="168" spans="1:36" s="65" customFormat="1" ht="15.75">
      <c r="A168" s="56">
        <v>163</v>
      </c>
      <c r="B168" s="57" t="s">
        <v>208</v>
      </c>
      <c r="C168" s="58">
        <v>1917</v>
      </c>
      <c r="D168" s="58">
        <v>2</v>
      </c>
      <c r="E168" s="58">
        <v>4</v>
      </c>
      <c r="F168" s="58">
        <v>206.2</v>
      </c>
      <c r="G168" s="59"/>
      <c r="H168" s="58">
        <f>206.2*0</f>
        <v>0</v>
      </c>
      <c r="I168" s="58"/>
      <c r="J168" s="58"/>
      <c r="K168" s="57">
        <v>2</v>
      </c>
      <c r="L168" s="60" t="s">
        <v>336</v>
      </c>
      <c r="M168" s="61">
        <v>0</v>
      </c>
      <c r="N168" s="61">
        <v>0</v>
      </c>
      <c r="O168" s="62">
        <f t="shared" si="24"/>
        <v>0</v>
      </c>
      <c r="P168" s="78">
        <v>0</v>
      </c>
      <c r="Q168" s="91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4">
        <f t="shared" si="25"/>
        <v>0</v>
      </c>
    </row>
    <row r="169" spans="1:36" s="65" customFormat="1" ht="15.75">
      <c r="A169" s="56">
        <v>164</v>
      </c>
      <c r="B169" s="57" t="s">
        <v>209</v>
      </c>
      <c r="C169" s="58">
        <v>1917</v>
      </c>
      <c r="D169" s="58">
        <v>2</v>
      </c>
      <c r="E169" s="58">
        <v>6</v>
      </c>
      <c r="F169" s="58">
        <v>237.6</v>
      </c>
      <c r="G169" s="59"/>
      <c r="H169" s="58">
        <f>237.6*0</f>
        <v>0</v>
      </c>
      <c r="I169" s="58"/>
      <c r="J169" s="58"/>
      <c r="K169" s="57">
        <v>1</v>
      </c>
      <c r="L169" s="60" t="s">
        <v>336</v>
      </c>
      <c r="M169" s="61">
        <v>0</v>
      </c>
      <c r="N169" s="61">
        <v>0</v>
      </c>
      <c r="O169" s="62">
        <f t="shared" si="24"/>
        <v>0</v>
      </c>
      <c r="P169" s="78">
        <v>0</v>
      </c>
      <c r="Q169" s="91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4">
        <f t="shared" si="25"/>
        <v>0</v>
      </c>
    </row>
    <row r="170" spans="1:36" s="65" customFormat="1" ht="15.75">
      <c r="A170" s="56">
        <v>165</v>
      </c>
      <c r="B170" s="57" t="s">
        <v>210</v>
      </c>
      <c r="C170" s="58">
        <v>1917</v>
      </c>
      <c r="D170" s="58">
        <v>2</v>
      </c>
      <c r="E170" s="58">
        <v>4</v>
      </c>
      <c r="F170" s="58">
        <v>179.8</v>
      </c>
      <c r="G170" s="59"/>
      <c r="H170" s="58">
        <f>179.8*0</f>
        <v>0</v>
      </c>
      <c r="I170" s="58"/>
      <c r="J170" s="58"/>
      <c r="K170" s="57">
        <v>1</v>
      </c>
      <c r="L170" s="60" t="s">
        <v>336</v>
      </c>
      <c r="M170" s="61">
        <v>0</v>
      </c>
      <c r="N170" s="61">
        <v>0</v>
      </c>
      <c r="O170" s="62">
        <f t="shared" si="24"/>
        <v>0</v>
      </c>
      <c r="P170" s="78">
        <v>0</v>
      </c>
      <c r="Q170" s="91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4">
        <f t="shared" si="25"/>
        <v>0</v>
      </c>
    </row>
    <row r="171" spans="1:36" s="65" customFormat="1" ht="15.75">
      <c r="A171" s="56">
        <v>166</v>
      </c>
      <c r="B171" s="57" t="s">
        <v>211</v>
      </c>
      <c r="C171" s="58">
        <v>1955</v>
      </c>
      <c r="D171" s="58">
        <v>2</v>
      </c>
      <c r="E171" s="58">
        <v>8</v>
      </c>
      <c r="F171" s="58">
        <v>396.33</v>
      </c>
      <c r="G171" s="58"/>
      <c r="H171" s="58">
        <f>396.33*0</f>
        <v>0</v>
      </c>
      <c r="I171" s="58"/>
      <c r="J171" s="58"/>
      <c r="K171" s="57">
        <v>2</v>
      </c>
      <c r="L171" s="60" t="s">
        <v>336</v>
      </c>
      <c r="M171" s="61">
        <v>0</v>
      </c>
      <c r="N171" s="61">
        <v>0</v>
      </c>
      <c r="O171" s="62">
        <f t="shared" si="24"/>
        <v>0</v>
      </c>
      <c r="P171" s="78">
        <v>0</v>
      </c>
      <c r="Q171" s="91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4">
        <f t="shared" si="25"/>
        <v>0</v>
      </c>
    </row>
    <row r="172" spans="1:36" s="93" customFormat="1" ht="15.75">
      <c r="A172" s="82">
        <v>167</v>
      </c>
      <c r="B172" s="94" t="s">
        <v>212</v>
      </c>
      <c r="C172" s="95">
        <v>1969</v>
      </c>
      <c r="D172" s="95">
        <v>2</v>
      </c>
      <c r="E172" s="95">
        <v>8</v>
      </c>
      <c r="F172" s="95">
        <v>425</v>
      </c>
      <c r="G172" s="85"/>
      <c r="H172" s="95">
        <v>0</v>
      </c>
      <c r="I172" s="95">
        <f>460.84+75.49</f>
        <v>536.3299999999999</v>
      </c>
      <c r="J172" s="95"/>
      <c r="K172" s="94">
        <v>2</v>
      </c>
      <c r="L172" s="87">
        <v>5.08</v>
      </c>
      <c r="M172" s="88">
        <f t="shared" si="23"/>
        <v>0</v>
      </c>
      <c r="N172" s="88">
        <f>M172*$N$1</f>
        <v>0</v>
      </c>
      <c r="O172" s="89">
        <f t="shared" si="24"/>
        <v>0</v>
      </c>
      <c r="P172" s="78">
        <v>0</v>
      </c>
      <c r="Q172" s="91">
        <v>0</v>
      </c>
      <c r="R172" s="63">
        <v>0</v>
      </c>
      <c r="S172" s="91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92">
        <f t="shared" si="25"/>
        <v>0</v>
      </c>
    </row>
    <row r="173" spans="1:36" s="65" customFormat="1" ht="15.75">
      <c r="A173" s="56">
        <v>168</v>
      </c>
      <c r="B173" s="57" t="s">
        <v>213</v>
      </c>
      <c r="C173" s="58">
        <v>1917</v>
      </c>
      <c r="D173" s="58">
        <v>2</v>
      </c>
      <c r="E173" s="58">
        <v>3</v>
      </c>
      <c r="F173" s="58">
        <v>168.9</v>
      </c>
      <c r="G173" s="59"/>
      <c r="H173" s="58">
        <f>168.9*0</f>
        <v>0</v>
      </c>
      <c r="I173" s="58"/>
      <c r="J173" s="58"/>
      <c r="K173" s="57">
        <v>2</v>
      </c>
      <c r="L173" s="60" t="s">
        <v>336</v>
      </c>
      <c r="M173" s="61">
        <v>0</v>
      </c>
      <c r="N173" s="61">
        <v>0</v>
      </c>
      <c r="O173" s="62">
        <f t="shared" si="24"/>
        <v>0</v>
      </c>
      <c r="P173" s="78">
        <v>0</v>
      </c>
      <c r="Q173" s="91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4">
        <f t="shared" si="25"/>
        <v>0</v>
      </c>
    </row>
    <row r="174" spans="1:36" s="65" customFormat="1" ht="15.75">
      <c r="A174" s="56">
        <v>169</v>
      </c>
      <c r="B174" s="57" t="s">
        <v>214</v>
      </c>
      <c r="C174" s="58">
        <v>1917</v>
      </c>
      <c r="D174" s="58">
        <v>2</v>
      </c>
      <c r="E174" s="58">
        <v>6</v>
      </c>
      <c r="F174" s="58">
        <v>202.5</v>
      </c>
      <c r="G174" s="58"/>
      <c r="H174" s="58">
        <f>202.5*0</f>
        <v>0</v>
      </c>
      <c r="I174" s="58"/>
      <c r="J174" s="58"/>
      <c r="K174" s="57">
        <v>2</v>
      </c>
      <c r="L174" s="60" t="s">
        <v>336</v>
      </c>
      <c r="M174" s="61">
        <v>0</v>
      </c>
      <c r="N174" s="61">
        <v>0</v>
      </c>
      <c r="O174" s="62">
        <f t="shared" si="24"/>
        <v>0</v>
      </c>
      <c r="P174" s="78">
        <v>0</v>
      </c>
      <c r="Q174" s="91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4">
        <f t="shared" si="25"/>
        <v>0</v>
      </c>
    </row>
    <row r="175" spans="1:39" ht="15.75">
      <c r="A175" s="12">
        <v>170</v>
      </c>
      <c r="B175" s="13" t="s">
        <v>215</v>
      </c>
      <c r="C175" s="14">
        <v>1962</v>
      </c>
      <c r="D175" s="14">
        <v>2</v>
      </c>
      <c r="E175" s="14">
        <v>16</v>
      </c>
      <c r="F175" s="14">
        <v>640.3</v>
      </c>
      <c r="G175" s="8">
        <v>0</v>
      </c>
      <c r="H175" s="14">
        <v>640.3</v>
      </c>
      <c r="I175" s="14"/>
      <c r="J175" s="14">
        <v>403.1</v>
      </c>
      <c r="K175" s="20">
        <v>2</v>
      </c>
      <c r="L175" s="10">
        <v>5.08</v>
      </c>
      <c r="M175" s="16">
        <f t="shared" si="23"/>
        <v>3252.7239999999997</v>
      </c>
      <c r="N175" s="16">
        <f t="shared" si="26"/>
        <v>39032.687999999995</v>
      </c>
      <c r="O175" s="17">
        <f t="shared" si="24"/>
        <v>37217.66800799999</v>
      </c>
      <c r="P175" s="102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9">
        <f t="shared" si="25"/>
        <v>0</v>
      </c>
      <c r="AK175" s="5">
        <f>4963963*F175/653667.1</f>
        <v>4862.452934987855</v>
      </c>
      <c r="AL175" s="5">
        <f>3362538*F175/653567.1</f>
        <v>3294.2800844779363</v>
      </c>
      <c r="AM175" s="5">
        <f>218982*F175/653567.1</f>
        <v>214.5367699812307</v>
      </c>
    </row>
    <row r="176" spans="1:39" ht="15.75">
      <c r="A176" s="12">
        <v>171</v>
      </c>
      <c r="B176" s="13" t="s">
        <v>216</v>
      </c>
      <c r="C176" s="14">
        <v>1961</v>
      </c>
      <c r="D176" s="14">
        <v>2</v>
      </c>
      <c r="E176" s="14">
        <v>16</v>
      </c>
      <c r="F176" s="14">
        <v>636.1</v>
      </c>
      <c r="G176" s="8">
        <v>0</v>
      </c>
      <c r="H176" s="14">
        <v>636.1</v>
      </c>
      <c r="I176" s="14"/>
      <c r="J176" s="14">
        <v>403.7</v>
      </c>
      <c r="K176" s="20">
        <v>2</v>
      </c>
      <c r="L176" s="10">
        <v>5.08</v>
      </c>
      <c r="M176" s="16">
        <f t="shared" si="23"/>
        <v>3231.3880000000004</v>
      </c>
      <c r="N176" s="16">
        <f t="shared" si="26"/>
        <v>38776.656</v>
      </c>
      <c r="O176" s="17">
        <f t="shared" si="24"/>
        <v>36973.541496000005</v>
      </c>
      <c r="P176" s="102">
        <v>0</v>
      </c>
      <c r="Q176" s="142">
        <v>2.806</v>
      </c>
      <c r="R176" s="184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91">
        <f t="shared" si="25"/>
        <v>2.806</v>
      </c>
      <c r="AK176" s="5">
        <f>4963963*F176/653667.1</f>
        <v>4830.558038334804</v>
      </c>
      <c r="AL176" s="5">
        <f>3362538*F176/653567.1</f>
        <v>3272.671500447315</v>
      </c>
      <c r="AM176" s="5">
        <f>218982*F176/653567.1</f>
        <v>213.12953207099932</v>
      </c>
    </row>
    <row r="177" spans="1:39" ht="15.75">
      <c r="A177" s="12">
        <v>172</v>
      </c>
      <c r="B177" s="13" t="s">
        <v>217</v>
      </c>
      <c r="C177" s="14">
        <v>1978</v>
      </c>
      <c r="D177" s="14">
        <v>5</v>
      </c>
      <c r="E177" s="14">
        <v>75</v>
      </c>
      <c r="F177" s="14">
        <v>3430</v>
      </c>
      <c r="G177" s="8">
        <v>0</v>
      </c>
      <c r="H177" s="14">
        <v>3430</v>
      </c>
      <c r="I177" s="14"/>
      <c r="J177" s="14">
        <v>2009.9</v>
      </c>
      <c r="K177" s="20">
        <v>4</v>
      </c>
      <c r="L177" s="10">
        <v>5.08</v>
      </c>
      <c r="M177" s="16">
        <f t="shared" si="23"/>
        <v>17424.4</v>
      </c>
      <c r="N177" s="16">
        <f>M177*$N$1</f>
        <v>209092.80000000002</v>
      </c>
      <c r="O177" s="17">
        <f t="shared" si="24"/>
        <v>199369.9848</v>
      </c>
      <c r="P177" s="103">
        <v>4.323</v>
      </c>
      <c r="Q177" s="142">
        <v>3.783</v>
      </c>
      <c r="R177" s="184">
        <v>57.12</v>
      </c>
      <c r="S177" s="97">
        <v>11.556</v>
      </c>
      <c r="T177" s="18">
        <v>0</v>
      </c>
      <c r="U177" s="18">
        <v>0</v>
      </c>
      <c r="V177" s="18">
        <v>0</v>
      </c>
      <c r="W177" s="18">
        <v>0</v>
      </c>
      <c r="X177" s="279">
        <v>18.43</v>
      </c>
      <c r="Y177" s="107">
        <v>5.542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91">
        <f t="shared" si="25"/>
        <v>100.75399999999999</v>
      </c>
      <c r="AK177" s="5">
        <f>4963963*F177/653667.1</f>
        <v>26047.498933325543</v>
      </c>
      <c r="AL177" s="5">
        <f>3362538*F177/653567.1</f>
        <v>17647.01029167472</v>
      </c>
      <c r="AM177" s="5">
        <f>218982*F177/653567.1</f>
        <v>1149.2442933556479</v>
      </c>
    </row>
    <row r="178" spans="1:39" ht="15.75">
      <c r="A178" s="12">
        <v>173</v>
      </c>
      <c r="B178" s="13" t="s">
        <v>218</v>
      </c>
      <c r="C178" s="14">
        <v>1981</v>
      </c>
      <c r="D178" s="14">
        <v>5</v>
      </c>
      <c r="E178" s="14">
        <v>75</v>
      </c>
      <c r="F178" s="14">
        <v>3452.8</v>
      </c>
      <c r="G178" s="8">
        <v>0</v>
      </c>
      <c r="H178" s="14">
        <v>3452.8</v>
      </c>
      <c r="I178" s="14"/>
      <c r="J178" s="14">
        <v>2022.5</v>
      </c>
      <c r="K178" s="20">
        <v>4</v>
      </c>
      <c r="L178" s="10">
        <v>5.08</v>
      </c>
      <c r="M178" s="16">
        <f t="shared" si="23"/>
        <v>17540.224000000002</v>
      </c>
      <c r="N178" s="16">
        <f t="shared" si="26"/>
        <v>210482.68800000002</v>
      </c>
      <c r="O178" s="17">
        <f t="shared" si="24"/>
        <v>200695.24300800002</v>
      </c>
      <c r="P178" s="77">
        <v>0</v>
      </c>
      <c r="Q178" s="18">
        <v>0</v>
      </c>
      <c r="R178" s="184">
        <v>65.28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279">
        <v>33.35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9">
        <f t="shared" si="25"/>
        <v>98.63</v>
      </c>
      <c r="AK178" s="5">
        <f>4963963*F178/653667.1</f>
        <v>26220.64265801354</v>
      </c>
      <c r="AL178" s="5">
        <f>3362538*F178/653567.1</f>
        <v>17764.31403355524</v>
      </c>
      <c r="AM178" s="5">
        <f>218982*F178/653567.1</f>
        <v>1156.8835848683327</v>
      </c>
    </row>
    <row r="179" spans="1:36" s="93" customFormat="1" ht="15.75">
      <c r="A179" s="82">
        <v>174</v>
      </c>
      <c r="B179" s="94" t="s">
        <v>219</v>
      </c>
      <c r="C179" s="95">
        <v>1966</v>
      </c>
      <c r="D179" s="95">
        <v>1</v>
      </c>
      <c r="E179" s="95">
        <v>2</v>
      </c>
      <c r="F179" s="95">
        <v>61</v>
      </c>
      <c r="G179" s="85"/>
      <c r="H179" s="95">
        <v>0</v>
      </c>
      <c r="I179" s="95">
        <v>61</v>
      </c>
      <c r="J179" s="95"/>
      <c r="K179" s="94">
        <v>1</v>
      </c>
      <c r="L179" s="87">
        <v>5.08</v>
      </c>
      <c r="M179" s="88">
        <f t="shared" si="23"/>
        <v>0</v>
      </c>
      <c r="N179" s="88">
        <f t="shared" si="26"/>
        <v>0</v>
      </c>
      <c r="O179" s="89">
        <f t="shared" si="24"/>
        <v>0</v>
      </c>
      <c r="P179" s="90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0</v>
      </c>
      <c r="AD179" s="91">
        <v>0</v>
      </c>
      <c r="AE179" s="91">
        <v>0</v>
      </c>
      <c r="AF179" s="91">
        <v>0</v>
      </c>
      <c r="AG179" s="91">
        <v>0</v>
      </c>
      <c r="AH179" s="91">
        <v>0</v>
      </c>
      <c r="AI179" s="91">
        <v>0</v>
      </c>
      <c r="AJ179" s="92">
        <f t="shared" si="25"/>
        <v>0</v>
      </c>
    </row>
    <row r="180" spans="1:36" s="93" customFormat="1" ht="15.75">
      <c r="A180" s="82">
        <v>175</v>
      </c>
      <c r="B180" s="94" t="s">
        <v>220</v>
      </c>
      <c r="C180" s="95">
        <v>1915</v>
      </c>
      <c r="D180" s="95">
        <v>2</v>
      </c>
      <c r="E180" s="95">
        <v>26</v>
      </c>
      <c r="F180" s="95">
        <v>1207.2</v>
      </c>
      <c r="G180" s="85"/>
      <c r="H180" s="95">
        <f>1207.2-I180</f>
        <v>1179.5</v>
      </c>
      <c r="I180" s="95">
        <v>27.7</v>
      </c>
      <c r="J180" s="95"/>
      <c r="K180" s="94">
        <v>4</v>
      </c>
      <c r="L180" s="87">
        <v>5.08</v>
      </c>
      <c r="M180" s="88">
        <f t="shared" si="23"/>
        <v>5991.86</v>
      </c>
      <c r="N180" s="88">
        <f t="shared" si="26"/>
        <v>71902.31999999999</v>
      </c>
      <c r="O180" s="89">
        <f t="shared" si="24"/>
        <v>68558.86211999999</v>
      </c>
      <c r="P180" s="90">
        <v>0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>
        <v>0</v>
      </c>
      <c r="AD180" s="91">
        <v>0</v>
      </c>
      <c r="AE180" s="91">
        <v>0</v>
      </c>
      <c r="AF180" s="91">
        <v>0</v>
      </c>
      <c r="AG180" s="91">
        <v>0</v>
      </c>
      <c r="AH180" s="91">
        <v>0</v>
      </c>
      <c r="AI180" s="91">
        <v>0</v>
      </c>
      <c r="AJ180" s="92">
        <f t="shared" si="25"/>
        <v>0</v>
      </c>
    </row>
    <row r="181" spans="1:39" ht="15.75">
      <c r="A181" s="12">
        <v>176</v>
      </c>
      <c r="B181" s="13" t="s">
        <v>221</v>
      </c>
      <c r="C181" s="14">
        <v>1980</v>
      </c>
      <c r="D181" s="14">
        <v>9</v>
      </c>
      <c r="E181" s="14">
        <v>54</v>
      </c>
      <c r="F181" s="14">
        <v>2962.3</v>
      </c>
      <c r="G181" s="8">
        <v>321.8</v>
      </c>
      <c r="H181" s="14">
        <v>2640.5</v>
      </c>
      <c r="I181" s="14"/>
      <c r="J181" s="14">
        <v>1544.5</v>
      </c>
      <c r="K181" s="20">
        <v>1</v>
      </c>
      <c r="L181" s="10">
        <v>5.08</v>
      </c>
      <c r="M181" s="16">
        <f t="shared" si="23"/>
        <v>13413.74</v>
      </c>
      <c r="N181" s="16">
        <f t="shared" si="26"/>
        <v>160964.88</v>
      </c>
      <c r="O181" s="17">
        <f t="shared" si="24"/>
        <v>153480.01308</v>
      </c>
      <c r="P181" s="77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278">
        <v>4.771</v>
      </c>
      <c r="Y181" s="18">
        <v>0</v>
      </c>
      <c r="Z181" s="18">
        <v>0</v>
      </c>
      <c r="AA181" s="18">
        <v>0</v>
      </c>
      <c r="AB181" s="185">
        <v>33.942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91">
        <f t="shared" si="25"/>
        <v>38.713</v>
      </c>
      <c r="AK181" s="5">
        <f aca="true" t="shared" si="27" ref="AK181:AK200">4963963*F181/653667.1</f>
        <v>22495.77437031786</v>
      </c>
      <c r="AL181" s="5">
        <f aca="true" t="shared" si="28" ref="AL181:AL200">3362538*F181/653567.1</f>
        <v>15240.74011283616</v>
      </c>
      <c r="AM181" s="5">
        <f aca="true" t="shared" si="29" ref="AM181:AM200">218982*F181/653567.1</f>
        <v>992.538300352022</v>
      </c>
    </row>
    <row r="182" spans="1:39" ht="15.75">
      <c r="A182" s="12">
        <v>177</v>
      </c>
      <c r="B182" s="13" t="s">
        <v>222</v>
      </c>
      <c r="C182" s="14">
        <v>1978</v>
      </c>
      <c r="D182" s="14">
        <v>9</v>
      </c>
      <c r="E182" s="14">
        <v>179</v>
      </c>
      <c r="F182" s="14">
        <v>9832</v>
      </c>
      <c r="G182" s="8">
        <v>44.8</v>
      </c>
      <c r="H182" s="14">
        <v>9787.2</v>
      </c>
      <c r="I182" s="14"/>
      <c r="J182" s="14">
        <v>6402.3</v>
      </c>
      <c r="K182" s="20">
        <v>5</v>
      </c>
      <c r="L182" s="10">
        <v>5.08</v>
      </c>
      <c r="M182" s="16">
        <f t="shared" si="23"/>
        <v>49718.976</v>
      </c>
      <c r="N182" s="16">
        <f t="shared" si="26"/>
        <v>596627.712</v>
      </c>
      <c r="O182" s="17">
        <f t="shared" si="24"/>
        <v>568884.5233920001</v>
      </c>
      <c r="P182" s="103">
        <f>34.977+1.876</f>
        <v>36.852999999999994</v>
      </c>
      <c r="Q182" s="18">
        <v>0</v>
      </c>
      <c r="R182" s="184">
        <f>40.8+47.297+9.952</f>
        <v>98.04899999999999</v>
      </c>
      <c r="S182" s="97">
        <v>0.872</v>
      </c>
      <c r="T182" s="18">
        <v>0</v>
      </c>
      <c r="U182" s="18">
        <v>0</v>
      </c>
      <c r="V182" s="18">
        <v>0</v>
      </c>
      <c r="W182" s="18">
        <v>0</v>
      </c>
      <c r="X182" s="278">
        <v>21.469</v>
      </c>
      <c r="Y182" s="107">
        <v>4.45</v>
      </c>
      <c r="Z182" s="18">
        <v>0</v>
      </c>
      <c r="AA182" s="110">
        <v>7.708</v>
      </c>
      <c r="AB182" s="18">
        <v>0</v>
      </c>
      <c r="AC182" s="187">
        <v>33.748</v>
      </c>
      <c r="AD182" s="105">
        <v>0.06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91">
        <f t="shared" si="25"/>
        <v>203.20899999999997</v>
      </c>
      <c r="AK182" s="5">
        <f t="shared" si="27"/>
        <v>74664.43426019147</v>
      </c>
      <c r="AL182" s="5">
        <f t="shared" si="28"/>
        <v>50584.66623549441</v>
      </c>
      <c r="AM182" s="5">
        <f t="shared" si="29"/>
        <v>3294.276936522662</v>
      </c>
    </row>
    <row r="183" spans="1:39" ht="15.75">
      <c r="A183" s="12">
        <v>178</v>
      </c>
      <c r="B183" s="13" t="s">
        <v>223</v>
      </c>
      <c r="C183" s="14">
        <v>1978</v>
      </c>
      <c r="D183" s="14">
        <v>5</v>
      </c>
      <c r="E183" s="14">
        <v>60</v>
      </c>
      <c r="F183" s="14">
        <v>3226.8</v>
      </c>
      <c r="G183" s="8">
        <v>0</v>
      </c>
      <c r="H183" s="14">
        <v>3226.8</v>
      </c>
      <c r="I183" s="14"/>
      <c r="J183" s="14">
        <v>1855.2</v>
      </c>
      <c r="K183" s="20">
        <v>4</v>
      </c>
      <c r="L183" s="10">
        <v>5.08</v>
      </c>
      <c r="M183" s="16">
        <f t="shared" si="23"/>
        <v>16392.144</v>
      </c>
      <c r="N183" s="16">
        <f t="shared" si="26"/>
        <v>196705.728</v>
      </c>
      <c r="O183" s="17">
        <f t="shared" si="24"/>
        <v>187558.911648</v>
      </c>
      <c r="P183" s="103">
        <v>0.309</v>
      </c>
      <c r="Q183" s="18">
        <v>0</v>
      </c>
      <c r="R183" s="184">
        <f>16.32+16.525</f>
        <v>32.845</v>
      </c>
      <c r="S183" s="97">
        <v>1.3075</v>
      </c>
      <c r="T183" s="18">
        <v>0</v>
      </c>
      <c r="U183" s="18">
        <v>0</v>
      </c>
      <c r="V183" s="18">
        <v>0</v>
      </c>
      <c r="W183" s="18">
        <v>0</v>
      </c>
      <c r="X183" s="278">
        <v>124.044</v>
      </c>
      <c r="Y183" s="107">
        <v>4.848</v>
      </c>
      <c r="Z183" s="18">
        <v>0</v>
      </c>
      <c r="AA183" s="18">
        <v>0</v>
      </c>
      <c r="AB183" s="185">
        <f>65.68+1.8</f>
        <v>67.48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91">
        <f t="shared" si="25"/>
        <v>230.83350000000002</v>
      </c>
      <c r="AK183" s="5">
        <f t="shared" si="27"/>
        <v>24504.393457158854</v>
      </c>
      <c r="AL183" s="5">
        <f t="shared" si="28"/>
        <v>16601.566416669386</v>
      </c>
      <c r="AM183" s="5">
        <f t="shared" si="29"/>
        <v>1081.1607830320713</v>
      </c>
    </row>
    <row r="184" spans="1:39" ht="15.75">
      <c r="A184" s="12">
        <v>179</v>
      </c>
      <c r="B184" s="13" t="s">
        <v>224</v>
      </c>
      <c r="C184" s="14">
        <v>1981</v>
      </c>
      <c r="D184" s="14">
        <v>5</v>
      </c>
      <c r="E184" s="14">
        <v>60</v>
      </c>
      <c r="F184" s="14">
        <v>3243.9</v>
      </c>
      <c r="G184" s="8">
        <v>0</v>
      </c>
      <c r="H184" s="14">
        <v>3243.9</v>
      </c>
      <c r="I184" s="14"/>
      <c r="J184" s="14">
        <v>1867</v>
      </c>
      <c r="K184" s="20">
        <v>4</v>
      </c>
      <c r="L184" s="10">
        <v>5.08</v>
      </c>
      <c r="M184" s="16">
        <f t="shared" si="23"/>
        <v>16479.012000000002</v>
      </c>
      <c r="N184" s="16">
        <f>M184*$N$1</f>
        <v>197748.14400000003</v>
      </c>
      <c r="O184" s="17">
        <f t="shared" si="24"/>
        <v>188552.85530400003</v>
      </c>
      <c r="P184" s="103">
        <v>16.67</v>
      </c>
      <c r="Q184" s="18">
        <v>0</v>
      </c>
      <c r="R184" s="18">
        <v>0</v>
      </c>
      <c r="S184" s="97">
        <v>0.523</v>
      </c>
      <c r="T184" s="100">
        <v>18.285</v>
      </c>
      <c r="U184" s="18">
        <v>0</v>
      </c>
      <c r="V184" s="18">
        <v>0</v>
      </c>
      <c r="W184" s="18">
        <v>0</v>
      </c>
      <c r="X184" s="18">
        <v>0</v>
      </c>
      <c r="Y184" s="107">
        <v>5.542</v>
      </c>
      <c r="Z184" s="18">
        <v>0</v>
      </c>
      <c r="AA184" s="110">
        <v>2.348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91">
        <f t="shared" si="25"/>
        <v>43.368</v>
      </c>
      <c r="AK184" s="5">
        <f t="shared" si="27"/>
        <v>24634.25125067485</v>
      </c>
      <c r="AL184" s="5">
        <f t="shared" si="28"/>
        <v>16689.544223079774</v>
      </c>
      <c r="AM184" s="5">
        <f t="shared" si="29"/>
        <v>1086.8902516665848</v>
      </c>
    </row>
    <row r="185" spans="1:39" ht="15.75">
      <c r="A185" s="12">
        <v>180</v>
      </c>
      <c r="B185" s="13" t="s">
        <v>225</v>
      </c>
      <c r="C185" s="14">
        <v>1978</v>
      </c>
      <c r="D185" s="14">
        <v>5</v>
      </c>
      <c r="E185" s="14">
        <v>60</v>
      </c>
      <c r="F185" s="14">
        <v>3253.4</v>
      </c>
      <c r="G185" s="8">
        <v>0</v>
      </c>
      <c r="H185" s="14">
        <v>3253.4</v>
      </c>
      <c r="I185" s="14"/>
      <c r="J185" s="14">
        <v>1866.5</v>
      </c>
      <c r="K185" s="20">
        <v>4</v>
      </c>
      <c r="L185" s="10">
        <v>5.08</v>
      </c>
      <c r="M185" s="16">
        <f t="shared" si="23"/>
        <v>16527.272</v>
      </c>
      <c r="N185" s="16">
        <f t="shared" si="26"/>
        <v>198327.26400000002</v>
      </c>
      <c r="O185" s="17">
        <f t="shared" si="24"/>
        <v>189105.04622400002</v>
      </c>
      <c r="P185" s="103">
        <v>11.25</v>
      </c>
      <c r="Q185" s="18">
        <v>0</v>
      </c>
      <c r="R185" s="184">
        <v>79.617</v>
      </c>
      <c r="S185" s="97">
        <v>1.3075</v>
      </c>
      <c r="T185" s="18">
        <v>0</v>
      </c>
      <c r="U185" s="18">
        <v>0</v>
      </c>
      <c r="V185" s="18">
        <v>0</v>
      </c>
      <c r="W185" s="18">
        <v>0</v>
      </c>
      <c r="X185" s="278">
        <v>104.96</v>
      </c>
      <c r="Y185" s="107">
        <v>4.848</v>
      </c>
      <c r="Z185" s="18">
        <v>0</v>
      </c>
      <c r="AA185" s="110">
        <v>2.033</v>
      </c>
      <c r="AB185" s="18">
        <v>0</v>
      </c>
      <c r="AC185" s="187">
        <f>0.292+0.876</f>
        <v>1.168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91">
        <f t="shared" si="25"/>
        <v>205.1835</v>
      </c>
      <c r="AK185" s="5">
        <f t="shared" si="27"/>
        <v>24706.394469294846</v>
      </c>
      <c r="AL185" s="5">
        <f t="shared" si="28"/>
        <v>16738.42078219666</v>
      </c>
      <c r="AM185" s="5">
        <f t="shared" si="29"/>
        <v>1090.0732897968703</v>
      </c>
    </row>
    <row r="186" spans="1:39" ht="15.75">
      <c r="A186" s="12">
        <v>181</v>
      </c>
      <c r="B186" s="13" t="s">
        <v>226</v>
      </c>
      <c r="C186" s="14" t="s">
        <v>227</v>
      </c>
      <c r="D186" s="14">
        <v>9</v>
      </c>
      <c r="E186" s="14">
        <v>275</v>
      </c>
      <c r="F186" s="14">
        <v>15643.7</v>
      </c>
      <c r="G186" s="8">
        <v>0</v>
      </c>
      <c r="H186" s="14">
        <v>15643.7</v>
      </c>
      <c r="I186" s="14"/>
      <c r="J186" s="14">
        <v>9211.6</v>
      </c>
      <c r="K186" s="20">
        <v>9</v>
      </c>
      <c r="L186" s="10">
        <v>5.08</v>
      </c>
      <c r="M186" s="16">
        <f t="shared" si="23"/>
        <v>79469.996</v>
      </c>
      <c r="N186" s="16">
        <f t="shared" si="26"/>
        <v>953639.952</v>
      </c>
      <c r="O186" s="17">
        <f t="shared" si="24"/>
        <v>909295.694232</v>
      </c>
      <c r="P186" s="103">
        <f>56.047+2.487</f>
        <v>58.534</v>
      </c>
      <c r="Q186" s="142">
        <v>1.257</v>
      </c>
      <c r="R186" s="184">
        <f>22.019+11.824</f>
        <v>33.842999999999996</v>
      </c>
      <c r="S186" s="97">
        <v>1.743</v>
      </c>
      <c r="T186" s="100">
        <v>2.345</v>
      </c>
      <c r="U186" s="96">
        <f>0.668</f>
        <v>0.668</v>
      </c>
      <c r="V186" s="18">
        <v>0</v>
      </c>
      <c r="W186" s="18">
        <v>0</v>
      </c>
      <c r="X186" s="18">
        <v>0</v>
      </c>
      <c r="Y186" s="18">
        <v>0</v>
      </c>
      <c r="Z186" s="106">
        <f>5.412+6.802</f>
        <v>12.213999999999999</v>
      </c>
      <c r="AA186" s="110">
        <v>30.675</v>
      </c>
      <c r="AB186" s="18">
        <v>0</v>
      </c>
      <c r="AC186" s="187">
        <v>1.666</v>
      </c>
      <c r="AD186" s="105">
        <v>1.0148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91">
        <f t="shared" si="25"/>
        <v>143.9598</v>
      </c>
      <c r="AK186" s="5">
        <f t="shared" si="27"/>
        <v>118798.61780270112</v>
      </c>
      <c r="AL186" s="5">
        <f t="shared" si="28"/>
        <v>80485.28714281978</v>
      </c>
      <c r="AM186" s="5">
        <f t="shared" si="29"/>
        <v>5241.525641973105</v>
      </c>
    </row>
    <row r="187" spans="1:39" ht="15.75">
      <c r="A187" s="12">
        <v>182</v>
      </c>
      <c r="B187" s="13" t="s">
        <v>228</v>
      </c>
      <c r="C187" s="14">
        <v>1993</v>
      </c>
      <c r="D187" s="14">
        <v>9</v>
      </c>
      <c r="E187" s="14">
        <v>71</v>
      </c>
      <c r="F187" s="14">
        <v>3141.9</v>
      </c>
      <c r="G187" s="8">
        <v>17.9</v>
      </c>
      <c r="H187" s="14">
        <v>3124</v>
      </c>
      <c r="I187" s="14"/>
      <c r="J187" s="14">
        <v>1640.4</v>
      </c>
      <c r="K187" s="20">
        <v>2</v>
      </c>
      <c r="L187" s="10">
        <v>5.08</v>
      </c>
      <c r="M187" s="16">
        <f t="shared" si="23"/>
        <v>15869.92</v>
      </c>
      <c r="N187" s="16">
        <f t="shared" si="26"/>
        <v>190439.04</v>
      </c>
      <c r="O187" s="17">
        <f t="shared" si="24"/>
        <v>181583.62464000002</v>
      </c>
      <c r="P187" s="77">
        <v>0</v>
      </c>
      <c r="Q187" s="142">
        <v>10.056</v>
      </c>
      <c r="R187" s="184">
        <f>19.904+59.121</f>
        <v>79.025</v>
      </c>
      <c r="S187" s="97">
        <f>1.326</f>
        <v>1.326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10">
        <v>2.098</v>
      </c>
      <c r="AB187" s="18">
        <v>0</v>
      </c>
      <c r="AC187" s="187">
        <f>0.996196+2.919</f>
        <v>3.915196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91">
        <f t="shared" si="25"/>
        <v>96.42019599999999</v>
      </c>
      <c r="AK187" s="5">
        <f t="shared" si="27"/>
        <v>23859.66090338645</v>
      </c>
      <c r="AL187" s="5">
        <f t="shared" si="28"/>
        <v>16164.764325193237</v>
      </c>
      <c r="AM187" s="5">
        <f t="shared" si="29"/>
        <v>1052.7144738466793</v>
      </c>
    </row>
    <row r="188" spans="1:39" ht="15.75">
      <c r="A188" s="12">
        <v>183</v>
      </c>
      <c r="B188" s="13" t="s">
        <v>229</v>
      </c>
      <c r="C188" s="8">
        <v>1994</v>
      </c>
      <c r="D188" s="14">
        <v>9</v>
      </c>
      <c r="E188" s="8">
        <v>54</v>
      </c>
      <c r="F188" s="8">
        <v>3167</v>
      </c>
      <c r="G188" s="8">
        <v>18.7</v>
      </c>
      <c r="H188" s="8">
        <v>3148.3</v>
      </c>
      <c r="I188" s="8"/>
      <c r="J188" s="14">
        <v>1860.5</v>
      </c>
      <c r="K188" s="20">
        <v>2</v>
      </c>
      <c r="L188" s="10">
        <v>5.08</v>
      </c>
      <c r="M188" s="16">
        <f t="shared" si="23"/>
        <v>15993.364000000001</v>
      </c>
      <c r="N188" s="16">
        <f t="shared" si="26"/>
        <v>191920.36800000002</v>
      </c>
      <c r="O188" s="17">
        <f t="shared" si="24"/>
        <v>182996.07088800002</v>
      </c>
      <c r="P188" s="103">
        <f>32.865+4.216</f>
        <v>37.081</v>
      </c>
      <c r="Q188" s="142">
        <v>8.799</v>
      </c>
      <c r="R188" s="184">
        <f>70.946+9.952</f>
        <v>80.898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10">
        <v>2.613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91">
        <f t="shared" si="25"/>
        <v>129.391</v>
      </c>
      <c r="AK188" s="5">
        <f t="shared" si="27"/>
        <v>24050.270881003496</v>
      </c>
      <c r="AL188" s="5">
        <f t="shared" si="28"/>
        <v>16293.901339281001</v>
      </c>
      <c r="AM188" s="5">
        <f t="shared" si="29"/>
        <v>1061.1243956435385</v>
      </c>
    </row>
    <row r="189" spans="1:39" ht="15.75">
      <c r="A189" s="12">
        <v>184</v>
      </c>
      <c r="B189" s="13" t="s">
        <v>230</v>
      </c>
      <c r="C189" s="8">
        <v>1994</v>
      </c>
      <c r="D189" s="14">
        <v>9</v>
      </c>
      <c r="E189" s="8">
        <v>36</v>
      </c>
      <c r="F189" s="8">
        <v>1563.4</v>
      </c>
      <c r="G189" s="8">
        <v>0</v>
      </c>
      <c r="H189" s="8">
        <v>1563.4</v>
      </c>
      <c r="I189" s="8"/>
      <c r="J189" s="14">
        <v>805.2</v>
      </c>
      <c r="K189" s="20">
        <v>1</v>
      </c>
      <c r="L189" s="10">
        <v>5.08</v>
      </c>
      <c r="M189" s="16">
        <f t="shared" si="23"/>
        <v>7942.072000000001</v>
      </c>
      <c r="N189" s="16">
        <f t="shared" si="26"/>
        <v>95304.86400000002</v>
      </c>
      <c r="O189" s="17">
        <f t="shared" si="24"/>
        <v>90873.18782400002</v>
      </c>
      <c r="P189" s="77">
        <v>0</v>
      </c>
      <c r="Q189" s="142">
        <v>11.313</v>
      </c>
      <c r="R189" s="184">
        <f>19.904+35.473</f>
        <v>55.376999999999995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91">
        <f t="shared" si="25"/>
        <v>66.69</v>
      </c>
      <c r="AK189" s="5">
        <f t="shared" si="27"/>
        <v>11872.495577947859</v>
      </c>
      <c r="AL189" s="5">
        <f t="shared" si="28"/>
        <v>8043.538160351096</v>
      </c>
      <c r="AM189" s="5">
        <f t="shared" si="29"/>
        <v>523.8275592513761</v>
      </c>
    </row>
    <row r="190" spans="1:39" ht="15.75">
      <c r="A190" s="12">
        <v>185</v>
      </c>
      <c r="B190" s="13" t="s">
        <v>231</v>
      </c>
      <c r="C190" s="8">
        <v>1982</v>
      </c>
      <c r="D190" s="14">
        <v>9</v>
      </c>
      <c r="E190" s="8">
        <v>358</v>
      </c>
      <c r="F190" s="8">
        <v>17418.4</v>
      </c>
      <c r="G190" s="8">
        <v>17.9</v>
      </c>
      <c r="H190" s="8">
        <v>17400.5</v>
      </c>
      <c r="I190" s="8"/>
      <c r="J190" s="14">
        <v>11619.9</v>
      </c>
      <c r="K190" s="20">
        <v>10</v>
      </c>
      <c r="L190" s="10">
        <v>5.08</v>
      </c>
      <c r="M190" s="16">
        <f t="shared" si="23"/>
        <v>88394.54000000001</v>
      </c>
      <c r="N190" s="16">
        <f t="shared" si="26"/>
        <v>1060734.48</v>
      </c>
      <c r="O190" s="17">
        <f t="shared" si="24"/>
        <v>1011410.3266799999</v>
      </c>
      <c r="P190" s="77">
        <v>0</v>
      </c>
      <c r="Q190" s="18">
        <v>0</v>
      </c>
      <c r="R190" s="184">
        <f>39.809+47.297</f>
        <v>87.106</v>
      </c>
      <c r="S190" s="18">
        <v>0</v>
      </c>
      <c r="T190" s="100">
        <v>5.956</v>
      </c>
      <c r="U190" s="18">
        <v>0</v>
      </c>
      <c r="V190" s="18">
        <v>0</v>
      </c>
      <c r="W190" s="18">
        <v>0</v>
      </c>
      <c r="X190" s="18">
        <v>0</v>
      </c>
      <c r="Y190" s="107">
        <v>17.368</v>
      </c>
      <c r="Z190" s="18">
        <v>0</v>
      </c>
      <c r="AA190" s="110">
        <v>66.426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91">
        <f t="shared" si="25"/>
        <v>176.856</v>
      </c>
      <c r="AK190" s="5">
        <f t="shared" si="27"/>
        <v>132275.730443218</v>
      </c>
      <c r="AL190" s="5">
        <f t="shared" si="28"/>
        <v>89615.94287594955</v>
      </c>
      <c r="AM190" s="5">
        <f t="shared" si="29"/>
        <v>5836.150670374932</v>
      </c>
    </row>
    <row r="191" spans="1:39" ht="15.75">
      <c r="A191" s="12">
        <v>186</v>
      </c>
      <c r="B191" s="13" t="s">
        <v>232</v>
      </c>
      <c r="C191" s="8">
        <v>1983</v>
      </c>
      <c r="D191" s="8">
        <v>5</v>
      </c>
      <c r="E191" s="8">
        <v>75</v>
      </c>
      <c r="F191" s="8">
        <v>3444</v>
      </c>
      <c r="G191" s="8">
        <v>0</v>
      </c>
      <c r="H191" s="8">
        <v>3444</v>
      </c>
      <c r="I191" s="8"/>
      <c r="J191" s="8">
        <v>2011.5</v>
      </c>
      <c r="K191" s="20">
        <v>5</v>
      </c>
      <c r="L191" s="10">
        <v>5.08</v>
      </c>
      <c r="M191" s="16">
        <f t="shared" si="23"/>
        <v>17495.52</v>
      </c>
      <c r="N191" s="16">
        <f>M191*$N$1</f>
        <v>209946.24</v>
      </c>
      <c r="O191" s="17">
        <f t="shared" si="24"/>
        <v>200183.73984</v>
      </c>
      <c r="P191" s="103">
        <v>3.18</v>
      </c>
      <c r="Q191" s="18">
        <v>0</v>
      </c>
      <c r="R191" s="184">
        <f>39.809+23.649+16.525</f>
        <v>79.983</v>
      </c>
      <c r="S191" s="18">
        <v>0</v>
      </c>
      <c r="T191" s="100">
        <v>12.689</v>
      </c>
      <c r="U191" s="96">
        <f>15.139</f>
        <v>15.139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6">
        <f>20.207+2.053</f>
        <v>22.26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91">
        <f t="shared" si="25"/>
        <v>133.251</v>
      </c>
      <c r="AK191" s="5">
        <f t="shared" si="27"/>
        <v>26153.81525550238</v>
      </c>
      <c r="AL191" s="5">
        <f t="shared" si="28"/>
        <v>17719.038905110127</v>
      </c>
      <c r="AM191" s="5">
        <f t="shared" si="29"/>
        <v>1153.9350863897525</v>
      </c>
    </row>
    <row r="192" spans="1:39" ht="15.75">
      <c r="A192" s="12">
        <v>187</v>
      </c>
      <c r="B192" s="13" t="s">
        <v>233</v>
      </c>
      <c r="C192" s="14">
        <v>1983</v>
      </c>
      <c r="D192" s="14">
        <v>5</v>
      </c>
      <c r="E192" s="14">
        <v>75</v>
      </c>
      <c r="F192" s="14">
        <v>3498.3</v>
      </c>
      <c r="G192" s="8">
        <v>0</v>
      </c>
      <c r="H192" s="14">
        <v>3498.3</v>
      </c>
      <c r="I192" s="14"/>
      <c r="J192" s="14">
        <v>2041.2</v>
      </c>
      <c r="K192" s="20">
        <v>5</v>
      </c>
      <c r="L192" s="10">
        <v>5.08</v>
      </c>
      <c r="M192" s="16">
        <f t="shared" si="23"/>
        <v>17771.364</v>
      </c>
      <c r="N192" s="16">
        <f t="shared" si="26"/>
        <v>213256.36800000002</v>
      </c>
      <c r="O192" s="17">
        <f t="shared" si="24"/>
        <v>203339.946888</v>
      </c>
      <c r="P192" s="103">
        <v>7.013</v>
      </c>
      <c r="Q192" s="18">
        <v>0</v>
      </c>
      <c r="R192" s="184">
        <f>8.16+11.824</f>
        <v>19.984</v>
      </c>
      <c r="S192" s="18">
        <v>0</v>
      </c>
      <c r="T192" s="100">
        <v>4.779</v>
      </c>
      <c r="U192" s="18">
        <v>0</v>
      </c>
      <c r="V192" s="18">
        <v>0</v>
      </c>
      <c r="W192" s="18">
        <v>0</v>
      </c>
      <c r="X192" s="18">
        <v>0</v>
      </c>
      <c r="Y192" s="107">
        <v>11.677</v>
      </c>
      <c r="Z192" s="18">
        <v>0</v>
      </c>
      <c r="AA192" s="110">
        <v>5.252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91">
        <f t="shared" si="25"/>
        <v>48.705000000000005</v>
      </c>
      <c r="AK192" s="5">
        <f t="shared" si="27"/>
        <v>26566.170705088265</v>
      </c>
      <c r="AL192" s="5">
        <f t="shared" si="28"/>
        <v>17998.407027220313</v>
      </c>
      <c r="AM192" s="5">
        <f t="shared" si="29"/>
        <v>1172.128662229173</v>
      </c>
    </row>
    <row r="193" spans="1:39" ht="15.75">
      <c r="A193" s="12">
        <v>188</v>
      </c>
      <c r="B193" s="13" t="s">
        <v>234</v>
      </c>
      <c r="C193" s="14">
        <v>1983</v>
      </c>
      <c r="D193" s="14">
        <v>9</v>
      </c>
      <c r="E193" s="14">
        <v>287</v>
      </c>
      <c r="F193" s="14">
        <v>14116.9</v>
      </c>
      <c r="G193" s="8">
        <v>17.1</v>
      </c>
      <c r="H193" s="14">
        <v>14099.8</v>
      </c>
      <c r="I193" s="14"/>
      <c r="J193" s="14">
        <v>9067.5</v>
      </c>
      <c r="K193" s="20">
        <v>8</v>
      </c>
      <c r="L193" s="10">
        <v>5.08</v>
      </c>
      <c r="M193" s="16">
        <f t="shared" si="23"/>
        <v>71626.984</v>
      </c>
      <c r="N193" s="16">
        <f t="shared" si="26"/>
        <v>859523.808</v>
      </c>
      <c r="O193" s="17">
        <f t="shared" si="24"/>
        <v>819555.9509279999</v>
      </c>
      <c r="P193" s="103">
        <v>54.53</v>
      </c>
      <c r="Q193" s="18">
        <v>0</v>
      </c>
      <c r="R193" s="184">
        <f>8.16+11.824</f>
        <v>19.984</v>
      </c>
      <c r="S193" s="97">
        <f>20.65+2.264</f>
        <v>22.913999999999998</v>
      </c>
      <c r="T193" s="99">
        <f>120.211+115.446+194.161+121.201+121.834+123.948+128.016</f>
        <v>924.817</v>
      </c>
      <c r="U193" s="18">
        <v>0</v>
      </c>
      <c r="V193" s="18">
        <v>0</v>
      </c>
      <c r="W193" s="18">
        <v>0</v>
      </c>
      <c r="X193" s="101">
        <v>0</v>
      </c>
      <c r="Y193" s="107">
        <f>0.653+22.173</f>
        <v>22.825999999999997</v>
      </c>
      <c r="Z193" s="106">
        <f>0.086+24.098+13.399+6.802</f>
        <v>44.385</v>
      </c>
      <c r="AA193" s="110">
        <f>35.597+21.799</f>
        <v>57.396</v>
      </c>
      <c r="AB193" s="18">
        <v>0</v>
      </c>
      <c r="AC193" s="186">
        <f>0.46+1.347+1.369+2.053</f>
        <v>5.229</v>
      </c>
      <c r="AD193" s="105">
        <v>1.13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91">
        <f t="shared" si="25"/>
        <v>1153.211</v>
      </c>
      <c r="AK193" s="5">
        <f t="shared" si="27"/>
        <v>107204.06346701556</v>
      </c>
      <c r="AL193" s="5">
        <f t="shared" si="28"/>
        <v>72630.05235759266</v>
      </c>
      <c r="AM193" s="5">
        <f t="shared" si="29"/>
        <v>4729.961155939459</v>
      </c>
    </row>
    <row r="194" spans="1:39" ht="15.75">
      <c r="A194" s="12">
        <v>189</v>
      </c>
      <c r="B194" s="13" t="s">
        <v>235</v>
      </c>
      <c r="C194" s="14">
        <v>1997</v>
      </c>
      <c r="D194" s="14">
        <v>9</v>
      </c>
      <c r="E194" s="14">
        <v>36</v>
      </c>
      <c r="F194" s="14">
        <v>2204.1</v>
      </c>
      <c r="G194" s="8">
        <v>51.9</v>
      </c>
      <c r="H194" s="14">
        <v>2152.2</v>
      </c>
      <c r="I194" s="14"/>
      <c r="J194" s="14">
        <v>1242.7</v>
      </c>
      <c r="K194" s="20">
        <v>1</v>
      </c>
      <c r="L194" s="10">
        <v>5.08</v>
      </c>
      <c r="M194" s="16">
        <f t="shared" si="23"/>
        <v>10933.176</v>
      </c>
      <c r="N194" s="16">
        <f t="shared" si="26"/>
        <v>131198.112</v>
      </c>
      <c r="O194" s="17">
        <f t="shared" si="24"/>
        <v>125097.399792</v>
      </c>
      <c r="P194" s="103">
        <v>4.007</v>
      </c>
      <c r="Q194" s="142">
        <v>7.542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5">
        <v>8.768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91">
        <f t="shared" si="25"/>
        <v>20.317</v>
      </c>
      <c r="AK194" s="5">
        <f t="shared" si="27"/>
        <v>16737.986122140766</v>
      </c>
      <c r="AL194" s="5">
        <f t="shared" si="28"/>
        <v>11339.876205212899</v>
      </c>
      <c r="AM194" s="5">
        <f t="shared" si="29"/>
        <v>738.498351890724</v>
      </c>
    </row>
    <row r="195" spans="1:39" ht="15.75">
      <c r="A195" s="12">
        <v>190</v>
      </c>
      <c r="B195" s="13" t="s">
        <v>236</v>
      </c>
      <c r="C195" s="14">
        <v>1997</v>
      </c>
      <c r="D195" s="14">
        <v>9</v>
      </c>
      <c r="E195" s="14">
        <v>36</v>
      </c>
      <c r="F195" s="14">
        <v>1623.8</v>
      </c>
      <c r="G195" s="8">
        <v>43.3</v>
      </c>
      <c r="H195" s="14">
        <v>1580.5</v>
      </c>
      <c r="I195" s="14"/>
      <c r="J195" s="14">
        <v>827.6</v>
      </c>
      <c r="K195" s="20">
        <v>1</v>
      </c>
      <c r="L195" s="10">
        <v>5.08</v>
      </c>
      <c r="M195" s="16">
        <f t="shared" si="23"/>
        <v>8028.9400000000005</v>
      </c>
      <c r="N195" s="16">
        <f t="shared" si="26"/>
        <v>96347.28</v>
      </c>
      <c r="O195" s="17">
        <f t="shared" si="24"/>
        <v>91867.13148</v>
      </c>
      <c r="P195" s="103">
        <f>3.214+9.985</f>
        <v>13.199</v>
      </c>
      <c r="Q195" s="142">
        <v>13.827</v>
      </c>
      <c r="R195" s="184">
        <f>11.824+19.904</f>
        <v>31.728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7">
        <v>2.738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91">
        <f t="shared" si="25"/>
        <v>61.492000000000004</v>
      </c>
      <c r="AK195" s="5">
        <f t="shared" si="27"/>
        <v>12331.174567910792</v>
      </c>
      <c r="AL195" s="5">
        <f t="shared" si="28"/>
        <v>8354.29017831528</v>
      </c>
      <c r="AM195" s="5">
        <f t="shared" si="29"/>
        <v>544.0649806270848</v>
      </c>
    </row>
    <row r="196" spans="1:39" ht="15.75">
      <c r="A196" s="12">
        <v>191</v>
      </c>
      <c r="B196" s="13" t="s">
        <v>237</v>
      </c>
      <c r="C196" s="14">
        <v>1998</v>
      </c>
      <c r="D196" s="14">
        <v>9</v>
      </c>
      <c r="E196" s="14">
        <v>72</v>
      </c>
      <c r="F196" s="14">
        <v>4150.3</v>
      </c>
      <c r="G196" s="8">
        <v>12.4</v>
      </c>
      <c r="H196" s="14">
        <v>4137.9</v>
      </c>
      <c r="I196" s="14"/>
      <c r="J196" s="14">
        <v>2146.1</v>
      </c>
      <c r="K196" s="20">
        <v>2</v>
      </c>
      <c r="L196" s="10">
        <v>5.08</v>
      </c>
      <c r="M196" s="16">
        <f t="shared" si="23"/>
        <v>21020.532</v>
      </c>
      <c r="N196" s="16">
        <f t="shared" si="26"/>
        <v>252246.384</v>
      </c>
      <c r="O196" s="17">
        <f t="shared" si="24"/>
        <v>240516.927144</v>
      </c>
      <c r="P196" s="103">
        <v>7.709</v>
      </c>
      <c r="Q196" s="142">
        <v>5.028</v>
      </c>
      <c r="R196" s="184">
        <f>16.32+11.824+0.005</f>
        <v>28.148999999999997</v>
      </c>
      <c r="S196" s="97">
        <v>1.568</v>
      </c>
      <c r="T196" s="100">
        <v>17.773</v>
      </c>
      <c r="U196" s="96">
        <v>0.861</v>
      </c>
      <c r="V196" s="18">
        <v>0</v>
      </c>
      <c r="W196" s="18">
        <v>0</v>
      </c>
      <c r="X196" s="101">
        <v>0</v>
      </c>
      <c r="Y196" s="107">
        <v>6.238</v>
      </c>
      <c r="Z196" s="18">
        <v>0</v>
      </c>
      <c r="AA196" s="110">
        <v>2.098</v>
      </c>
      <c r="AB196" s="18">
        <v>0</v>
      </c>
      <c r="AC196" s="187">
        <v>9.45298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91">
        <f t="shared" si="25"/>
        <v>78.87697999999999</v>
      </c>
      <c r="AK196" s="5">
        <f t="shared" si="27"/>
        <v>31517.47370932391</v>
      </c>
      <c r="AL196" s="5">
        <f t="shared" si="28"/>
        <v>21352.882452926413</v>
      </c>
      <c r="AM196" s="5">
        <f t="shared" si="29"/>
        <v>1390.585594960334</v>
      </c>
    </row>
    <row r="197" spans="1:39" ht="15.75">
      <c r="A197" s="12">
        <v>192</v>
      </c>
      <c r="B197" s="13" t="s">
        <v>238</v>
      </c>
      <c r="C197" s="14">
        <v>1984</v>
      </c>
      <c r="D197" s="14">
        <v>5</v>
      </c>
      <c r="E197" s="14">
        <v>74</v>
      </c>
      <c r="F197" s="14">
        <v>4123.5</v>
      </c>
      <c r="G197" s="8">
        <v>625.9</v>
      </c>
      <c r="H197" s="14">
        <v>3468.1</v>
      </c>
      <c r="I197" s="14"/>
      <c r="J197" s="14">
        <v>2032.7</v>
      </c>
      <c r="K197" s="20">
        <v>5</v>
      </c>
      <c r="L197" s="10">
        <v>5.08</v>
      </c>
      <c r="M197" s="16">
        <f t="shared" si="23"/>
        <v>17617.948</v>
      </c>
      <c r="N197" s="16">
        <f t="shared" si="26"/>
        <v>211415.376</v>
      </c>
      <c r="O197" s="17">
        <f t="shared" si="24"/>
        <v>201584.561016</v>
      </c>
      <c r="P197" s="77">
        <v>0</v>
      </c>
      <c r="Q197" s="142">
        <v>30.466</v>
      </c>
      <c r="R197" s="184">
        <v>24.48</v>
      </c>
      <c r="S197" s="18">
        <v>0</v>
      </c>
      <c r="T197" s="18">
        <v>0</v>
      </c>
      <c r="U197" s="96">
        <f>27.87</f>
        <v>27.87</v>
      </c>
      <c r="V197" s="18">
        <v>0</v>
      </c>
      <c r="W197" s="18">
        <v>0</v>
      </c>
      <c r="X197" s="278">
        <v>52.48</v>
      </c>
      <c r="Y197" s="107">
        <v>1.616</v>
      </c>
      <c r="Z197" s="18">
        <v>0</v>
      </c>
      <c r="AA197" s="110">
        <v>19.33</v>
      </c>
      <c r="AB197" s="18">
        <v>0</v>
      </c>
      <c r="AC197" s="18">
        <v>0</v>
      </c>
      <c r="AD197" s="105">
        <v>0.03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91">
        <f t="shared" si="25"/>
        <v>156.27200000000002</v>
      </c>
      <c r="AK197" s="5">
        <f t="shared" si="27"/>
        <v>31313.953892585385</v>
      </c>
      <c r="AL197" s="5">
        <f t="shared" si="28"/>
        <v>21214.999107207204</v>
      </c>
      <c r="AM197" s="5">
        <f t="shared" si="29"/>
        <v>1381.6060768664763</v>
      </c>
    </row>
    <row r="198" spans="1:39" ht="15.75">
      <c r="A198" s="12">
        <v>193</v>
      </c>
      <c r="B198" s="13" t="s">
        <v>239</v>
      </c>
      <c r="C198" s="14">
        <v>1996</v>
      </c>
      <c r="D198" s="14">
        <v>9</v>
      </c>
      <c r="E198" s="14">
        <v>70</v>
      </c>
      <c r="F198" s="14">
        <v>3808</v>
      </c>
      <c r="G198" s="8">
        <v>57.3</v>
      </c>
      <c r="H198" s="14">
        <v>3750.7</v>
      </c>
      <c r="I198" s="14"/>
      <c r="J198" s="14">
        <v>2081.4</v>
      </c>
      <c r="K198" s="20">
        <v>2</v>
      </c>
      <c r="L198" s="10">
        <v>5.08</v>
      </c>
      <c r="M198" s="16">
        <f t="shared" si="23"/>
        <v>19053.556</v>
      </c>
      <c r="N198" s="16">
        <f t="shared" si="26"/>
        <v>228642.67200000002</v>
      </c>
      <c r="O198" s="17">
        <f t="shared" si="24"/>
        <v>218010.78775200003</v>
      </c>
      <c r="P198" s="103">
        <f>2.336+6.735</f>
        <v>9.071</v>
      </c>
      <c r="Q198" s="142">
        <v>12.57</v>
      </c>
      <c r="R198" s="184">
        <f>57.12+11.824</f>
        <v>68.944</v>
      </c>
      <c r="S198" s="18">
        <v>0</v>
      </c>
      <c r="T198" s="99">
        <f>155.625+163.995</f>
        <v>319.62</v>
      </c>
      <c r="U198" s="96">
        <f>4.848</f>
        <v>4.848</v>
      </c>
      <c r="V198" s="18">
        <v>0</v>
      </c>
      <c r="W198" s="18">
        <v>0</v>
      </c>
      <c r="X198" s="18">
        <v>0</v>
      </c>
      <c r="Y198" s="107">
        <v>1.616</v>
      </c>
      <c r="Z198" s="18">
        <v>0</v>
      </c>
      <c r="AA198" s="110">
        <v>5.08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91">
        <f t="shared" si="25"/>
        <v>421.749</v>
      </c>
      <c r="AK198" s="5">
        <f t="shared" si="27"/>
        <v>28918.039632100194</v>
      </c>
      <c r="AL198" s="5">
        <f t="shared" si="28"/>
        <v>19591.78285443071</v>
      </c>
      <c r="AM198" s="5">
        <f t="shared" si="29"/>
        <v>1275.8957052764742</v>
      </c>
    </row>
    <row r="199" spans="1:39" ht="15.75">
      <c r="A199" s="12">
        <v>194</v>
      </c>
      <c r="B199" s="13" t="s">
        <v>240</v>
      </c>
      <c r="C199" s="14">
        <v>1983</v>
      </c>
      <c r="D199" s="14">
        <v>9</v>
      </c>
      <c r="E199" s="14">
        <v>323</v>
      </c>
      <c r="F199" s="14">
        <v>16031.6</v>
      </c>
      <c r="G199" s="8">
        <v>0</v>
      </c>
      <c r="H199" s="14">
        <v>16013.7</v>
      </c>
      <c r="I199" s="14"/>
      <c r="J199" s="14">
        <v>10447.9</v>
      </c>
      <c r="K199" s="20">
        <v>9</v>
      </c>
      <c r="L199" s="10">
        <v>5.08</v>
      </c>
      <c r="M199" s="16">
        <f aca="true" t="shared" si="30" ref="M199:M262">L199*H199</f>
        <v>81349.596</v>
      </c>
      <c r="N199" s="16">
        <f t="shared" si="26"/>
        <v>976195.152</v>
      </c>
      <c r="O199" s="17">
        <f aca="true" t="shared" si="31" ref="O199:O262">N199*$O$1</f>
        <v>930802.077432</v>
      </c>
      <c r="P199" s="103">
        <v>44.682</v>
      </c>
      <c r="Q199" s="18">
        <v>0</v>
      </c>
      <c r="R199" s="184">
        <v>23.649</v>
      </c>
      <c r="S199" s="97">
        <f>3.21+4.614+1.81+11.306+0.697</f>
        <v>21.636999999999997</v>
      </c>
      <c r="T199" s="18">
        <v>0</v>
      </c>
      <c r="U199" s="96">
        <f>4.161+4.63</f>
        <v>8.791</v>
      </c>
      <c r="V199" s="18">
        <v>0</v>
      </c>
      <c r="W199" s="18">
        <v>0</v>
      </c>
      <c r="X199" s="279">
        <v>0.696</v>
      </c>
      <c r="Y199" s="107">
        <v>14.873</v>
      </c>
      <c r="Z199" s="106">
        <f>15.078+22.617+22.617+3.401</f>
        <v>63.712999999999994</v>
      </c>
      <c r="AA199" s="110">
        <v>35.043</v>
      </c>
      <c r="AB199" s="18">
        <v>0</v>
      </c>
      <c r="AC199" s="18">
        <v>0</v>
      </c>
      <c r="AD199" s="105">
        <v>1.294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91">
        <f aca="true" t="shared" si="32" ref="AJ199:AJ262">SUM(P199,Q199,R199,S199,T199,U199,V199,W199,X199,Y199,Z199,AA199,AB199,AC199,AD199,AE199,AF199,AG199,AH199,AI199)</f>
        <v>214.37800000000001</v>
      </c>
      <c r="AK199" s="5">
        <f t="shared" si="27"/>
        <v>121744.33932930081</v>
      </c>
      <c r="AL199" s="5">
        <f t="shared" si="28"/>
        <v>82480.99422507652</v>
      </c>
      <c r="AM199" s="5">
        <f t="shared" si="29"/>
        <v>5371.494114682334</v>
      </c>
    </row>
    <row r="200" spans="1:39" ht="15.75">
      <c r="A200" s="12">
        <v>195</v>
      </c>
      <c r="B200" s="13" t="s">
        <v>241</v>
      </c>
      <c r="C200" s="14" t="s">
        <v>242</v>
      </c>
      <c r="D200" s="14">
        <v>5</v>
      </c>
      <c r="E200" s="14">
        <v>119</v>
      </c>
      <c r="F200" s="14">
        <v>5800.5</v>
      </c>
      <c r="G200" s="8">
        <v>0</v>
      </c>
      <c r="H200" s="14">
        <v>5800.5</v>
      </c>
      <c r="I200" s="14"/>
      <c r="J200" s="14">
        <v>4037.6</v>
      </c>
      <c r="K200" s="20">
        <v>8</v>
      </c>
      <c r="L200" s="10">
        <v>5.08</v>
      </c>
      <c r="M200" s="16">
        <f t="shared" si="30"/>
        <v>29466.54</v>
      </c>
      <c r="N200" s="16">
        <f>M200*$N$1</f>
        <v>353598.48</v>
      </c>
      <c r="O200" s="17">
        <f t="shared" si="31"/>
        <v>337156.15067999996</v>
      </c>
      <c r="P200" s="103">
        <v>89.166</v>
      </c>
      <c r="Q200" s="18">
        <v>0</v>
      </c>
      <c r="R200" s="184">
        <f>16.525+11.824</f>
        <v>28.348999999999997</v>
      </c>
      <c r="S200" s="97">
        <v>0.348</v>
      </c>
      <c r="T200" s="18">
        <v>0</v>
      </c>
      <c r="U200" s="18">
        <v>0</v>
      </c>
      <c r="V200" s="104">
        <v>3.081</v>
      </c>
      <c r="W200" s="18">
        <v>0</v>
      </c>
      <c r="X200" s="18">
        <v>0</v>
      </c>
      <c r="Y200" s="107">
        <v>3.232</v>
      </c>
      <c r="Z200" s="18">
        <v>0</v>
      </c>
      <c r="AA200" s="110">
        <v>16.839</v>
      </c>
      <c r="AB200" s="18">
        <v>0.9718</v>
      </c>
      <c r="AC200" s="186">
        <v>18.14139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91">
        <f t="shared" si="32"/>
        <v>160.12819</v>
      </c>
      <c r="AK200" s="5">
        <f t="shared" si="27"/>
        <v>44049.13048476817</v>
      </c>
      <c r="AL200" s="5">
        <f t="shared" si="28"/>
        <v>29842.99801657703</v>
      </c>
      <c r="AM200" s="5">
        <f t="shared" si="29"/>
        <v>1943.496071023159</v>
      </c>
    </row>
    <row r="201" spans="1:36" s="93" customFormat="1" ht="15.75">
      <c r="A201" s="82">
        <v>196</v>
      </c>
      <c r="B201" s="94" t="s">
        <v>243</v>
      </c>
      <c r="C201" s="95">
        <v>1965</v>
      </c>
      <c r="D201" s="95">
        <v>1</v>
      </c>
      <c r="E201" s="95">
        <v>3</v>
      </c>
      <c r="F201" s="95">
        <v>94.8</v>
      </c>
      <c r="G201" s="85"/>
      <c r="H201" s="95">
        <f>94.8-I201</f>
        <v>15.5</v>
      </c>
      <c r="I201" s="95">
        <f>32+47.3</f>
        <v>79.3</v>
      </c>
      <c r="J201" s="95"/>
      <c r="K201" s="94">
        <v>1</v>
      </c>
      <c r="L201" s="87">
        <v>5.08</v>
      </c>
      <c r="M201" s="88">
        <f t="shared" si="30"/>
        <v>78.74</v>
      </c>
      <c r="N201" s="88">
        <f t="shared" si="26"/>
        <v>944.8799999999999</v>
      </c>
      <c r="O201" s="89">
        <f t="shared" si="31"/>
        <v>900.9430799999999</v>
      </c>
      <c r="P201" s="90">
        <v>0</v>
      </c>
      <c r="Q201" s="91">
        <v>0</v>
      </c>
      <c r="R201" s="91">
        <v>0</v>
      </c>
      <c r="S201" s="91">
        <v>0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>
        <v>0</v>
      </c>
      <c r="AD201" s="91">
        <v>0</v>
      </c>
      <c r="AE201" s="91">
        <v>0</v>
      </c>
      <c r="AF201" s="91">
        <v>0</v>
      </c>
      <c r="AG201" s="91">
        <v>0</v>
      </c>
      <c r="AH201" s="91">
        <v>0</v>
      </c>
      <c r="AI201" s="91">
        <v>0</v>
      </c>
      <c r="AJ201" s="92">
        <f t="shared" si="32"/>
        <v>0</v>
      </c>
    </row>
    <row r="202" spans="1:39" ht="15.75">
      <c r="A202" s="12">
        <v>197</v>
      </c>
      <c r="B202" s="13" t="s">
        <v>244</v>
      </c>
      <c r="C202" s="14" t="s">
        <v>245</v>
      </c>
      <c r="D202" s="14">
        <v>4</v>
      </c>
      <c r="E202" s="14">
        <v>36</v>
      </c>
      <c r="F202" s="14">
        <v>2093</v>
      </c>
      <c r="G202" s="8">
        <v>415.4</v>
      </c>
      <c r="H202" s="14">
        <v>1557</v>
      </c>
      <c r="I202" s="14"/>
      <c r="J202" s="14">
        <v>984.78</v>
      </c>
      <c r="K202" s="20">
        <v>3</v>
      </c>
      <c r="L202" s="10">
        <v>5.08</v>
      </c>
      <c r="M202" s="16">
        <f t="shared" si="30"/>
        <v>7909.56</v>
      </c>
      <c r="N202" s="16">
        <f t="shared" si="26"/>
        <v>94914.72</v>
      </c>
      <c r="O202" s="17">
        <f t="shared" si="31"/>
        <v>90501.18552</v>
      </c>
      <c r="P202" s="77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07">
        <v>6.238</v>
      </c>
      <c r="Z202" s="18">
        <v>0</v>
      </c>
      <c r="AA202" s="110">
        <v>1.016</v>
      </c>
      <c r="AB202" s="185">
        <v>0.6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91">
        <f t="shared" si="32"/>
        <v>7.854</v>
      </c>
      <c r="AK202" s="5">
        <f aca="true" t="shared" si="33" ref="AK202:AK224">4963963*F202/653667.1</f>
        <v>15894.290165437424</v>
      </c>
      <c r="AL202" s="5">
        <f aca="true" t="shared" si="34" ref="AL202:AL224">3362538*F202/653567.1</f>
        <v>10768.277708593349</v>
      </c>
      <c r="AM202" s="5">
        <f aca="true" t="shared" si="35" ref="AM202:AM224">218982*F202/653567.1</f>
        <v>701.2735585986504</v>
      </c>
    </row>
    <row r="203" spans="1:39" ht="18.75" customHeight="1">
      <c r="A203" s="12">
        <v>198</v>
      </c>
      <c r="B203" s="13" t="s">
        <v>246</v>
      </c>
      <c r="C203" s="14" t="s">
        <v>247</v>
      </c>
      <c r="D203" s="14">
        <v>5</v>
      </c>
      <c r="E203" s="14">
        <v>64</v>
      </c>
      <c r="F203" s="14">
        <v>3275.7</v>
      </c>
      <c r="G203" s="8">
        <v>664.7</v>
      </c>
      <c r="H203" s="14">
        <v>2611.4</v>
      </c>
      <c r="I203" s="14"/>
      <c r="J203" s="14">
        <v>1693.3</v>
      </c>
      <c r="K203" s="20">
        <v>4</v>
      </c>
      <c r="L203" s="10">
        <v>5.08</v>
      </c>
      <c r="M203" s="16">
        <f t="shared" si="30"/>
        <v>13265.912</v>
      </c>
      <c r="N203" s="16">
        <f t="shared" si="26"/>
        <v>159190.94400000002</v>
      </c>
      <c r="O203" s="17">
        <f t="shared" si="31"/>
        <v>151788.565104</v>
      </c>
      <c r="P203" s="77">
        <v>0</v>
      </c>
      <c r="Q203" s="18">
        <v>0</v>
      </c>
      <c r="R203" s="18">
        <v>0</v>
      </c>
      <c r="S203" s="18">
        <v>0</v>
      </c>
      <c r="T203" s="18">
        <v>0</v>
      </c>
      <c r="U203" s="96">
        <f>2.082</f>
        <v>2.082</v>
      </c>
      <c r="V203" s="18">
        <v>0</v>
      </c>
      <c r="W203" s="18">
        <v>0</v>
      </c>
      <c r="X203" s="278">
        <v>7.156</v>
      </c>
      <c r="Y203" s="18">
        <v>0</v>
      </c>
      <c r="Z203" s="18">
        <v>0</v>
      </c>
      <c r="AA203" s="110">
        <v>0.183</v>
      </c>
      <c r="AB203" s="18">
        <v>0</v>
      </c>
      <c r="AC203" s="187">
        <f>18.614+0.975</f>
        <v>19.589000000000002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91">
        <f t="shared" si="32"/>
        <v>29.01</v>
      </c>
      <c r="AK203" s="5">
        <f t="shared" si="33"/>
        <v>24875.741182476522</v>
      </c>
      <c r="AL203" s="5">
        <f t="shared" si="34"/>
        <v>16853.15207359734</v>
      </c>
      <c r="AM203" s="5">
        <f t="shared" si="35"/>
        <v>1097.5450529869083</v>
      </c>
    </row>
    <row r="204" spans="1:39" ht="15.75">
      <c r="A204" s="12">
        <v>199</v>
      </c>
      <c r="B204" s="27" t="s">
        <v>248</v>
      </c>
      <c r="C204" s="28" t="s">
        <v>76</v>
      </c>
      <c r="D204" s="28">
        <v>3</v>
      </c>
      <c r="E204" s="28">
        <v>11</v>
      </c>
      <c r="F204" s="14">
        <v>1164.7</v>
      </c>
      <c r="G204" s="8">
        <v>0</v>
      </c>
      <c r="H204" s="14">
        <v>1164.7</v>
      </c>
      <c r="I204" s="14"/>
      <c r="J204" s="14">
        <v>810.3</v>
      </c>
      <c r="K204" s="10">
        <v>2</v>
      </c>
      <c r="L204" s="10">
        <v>5.08</v>
      </c>
      <c r="M204" s="16">
        <f t="shared" si="30"/>
        <v>5916.676</v>
      </c>
      <c r="N204" s="16">
        <f aca="true" t="shared" si="36" ref="N204:N233">L204*H204*12</f>
        <v>71000.11200000001</v>
      </c>
      <c r="O204" s="17">
        <f t="shared" si="31"/>
        <v>67698.606792</v>
      </c>
      <c r="P204" s="77">
        <v>0</v>
      </c>
      <c r="Q204" s="18">
        <v>0</v>
      </c>
      <c r="R204" s="18">
        <v>0</v>
      </c>
      <c r="S204" s="97">
        <v>0.935</v>
      </c>
      <c r="T204" s="99">
        <f>36.586+36.528</f>
        <v>73.114</v>
      </c>
      <c r="U204" s="18">
        <v>0</v>
      </c>
      <c r="V204" s="104">
        <v>6.268</v>
      </c>
      <c r="W204" s="18">
        <v>0</v>
      </c>
      <c r="X204" s="18">
        <v>0</v>
      </c>
      <c r="Y204" s="18">
        <v>0</v>
      </c>
      <c r="Z204" s="18">
        <v>0</v>
      </c>
      <c r="AA204" s="110">
        <v>2.098</v>
      </c>
      <c r="AB204" s="18">
        <v>0</v>
      </c>
      <c r="AC204" s="187">
        <v>2.597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91">
        <f t="shared" si="32"/>
        <v>85.012</v>
      </c>
      <c r="AK204" s="5">
        <f t="shared" si="33"/>
        <v>8844.758602811738</v>
      </c>
      <c r="AL204" s="5">
        <f t="shared" si="34"/>
        <v>5992.266147729897</v>
      </c>
      <c r="AM204" s="5">
        <f t="shared" si="35"/>
        <v>390.24047477298046</v>
      </c>
    </row>
    <row r="205" spans="1:39" ht="15.75">
      <c r="A205" s="12">
        <v>200</v>
      </c>
      <c r="B205" s="27" t="s">
        <v>249</v>
      </c>
      <c r="C205" s="28" t="s">
        <v>76</v>
      </c>
      <c r="D205" s="28">
        <v>3</v>
      </c>
      <c r="E205" s="28">
        <v>24</v>
      </c>
      <c r="F205" s="14">
        <v>946.7</v>
      </c>
      <c r="G205" s="8">
        <v>0</v>
      </c>
      <c r="H205" s="14">
        <v>946.7</v>
      </c>
      <c r="I205" s="14"/>
      <c r="J205" s="14">
        <v>614.2</v>
      </c>
      <c r="K205" s="20">
        <v>3</v>
      </c>
      <c r="L205" s="10">
        <v>5.08</v>
      </c>
      <c r="M205" s="16">
        <f t="shared" si="30"/>
        <v>4809.236</v>
      </c>
      <c r="N205" s="16">
        <f>M205*$N$1</f>
        <v>57710.831999999995</v>
      </c>
      <c r="O205" s="17">
        <f t="shared" si="31"/>
        <v>55027.278311999995</v>
      </c>
      <c r="P205" s="77">
        <v>0</v>
      </c>
      <c r="Q205" s="18">
        <v>0</v>
      </c>
      <c r="R205" s="18">
        <v>0</v>
      </c>
      <c r="S205" s="18">
        <v>0</v>
      </c>
      <c r="T205" s="99">
        <v>128.852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91">
        <f t="shared" si="32"/>
        <v>128.852</v>
      </c>
      <c r="AK205" s="5">
        <f t="shared" si="33"/>
        <v>7189.261586058103</v>
      </c>
      <c r="AL205" s="5">
        <f t="shared" si="34"/>
        <v>4870.677738521416</v>
      </c>
      <c r="AM205" s="5">
        <f t="shared" si="35"/>
        <v>317.19812609906467</v>
      </c>
    </row>
    <row r="206" spans="1:39" ht="15.75">
      <c r="A206" s="12">
        <v>201</v>
      </c>
      <c r="B206" s="27" t="s">
        <v>250</v>
      </c>
      <c r="C206" s="28">
        <v>1961</v>
      </c>
      <c r="D206" s="28">
        <v>3</v>
      </c>
      <c r="E206" s="28">
        <v>36</v>
      </c>
      <c r="F206" s="14">
        <v>1502.6</v>
      </c>
      <c r="G206" s="8">
        <v>0</v>
      </c>
      <c r="H206" s="14">
        <v>1502.6</v>
      </c>
      <c r="I206" s="14"/>
      <c r="J206" s="14">
        <v>970</v>
      </c>
      <c r="K206" s="20">
        <v>3</v>
      </c>
      <c r="L206" s="10">
        <v>5.08</v>
      </c>
      <c r="M206" s="16">
        <f t="shared" si="30"/>
        <v>7633.208</v>
      </c>
      <c r="N206" s="16">
        <f t="shared" si="36"/>
        <v>91598.496</v>
      </c>
      <c r="O206" s="17">
        <f t="shared" si="31"/>
        <v>87339.165936</v>
      </c>
      <c r="P206" s="103">
        <v>1.347</v>
      </c>
      <c r="Q206" s="142">
        <v>29.706</v>
      </c>
      <c r="R206" s="18">
        <v>0</v>
      </c>
      <c r="S206" s="97">
        <v>62.173</v>
      </c>
      <c r="T206" s="99">
        <f>158.016</f>
        <v>158.016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10">
        <v>0.865</v>
      </c>
      <c r="AB206" s="185">
        <v>65.68</v>
      </c>
      <c r="AC206" s="187">
        <v>3.215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91">
        <f t="shared" si="32"/>
        <v>321.002</v>
      </c>
      <c r="AK206" s="5">
        <f t="shared" si="33"/>
        <v>11410.77897877987</v>
      </c>
      <c r="AL206" s="5">
        <f t="shared" si="34"/>
        <v>7730.72818200304</v>
      </c>
      <c r="AM206" s="5">
        <f t="shared" si="35"/>
        <v>503.45611521754995</v>
      </c>
    </row>
    <row r="207" spans="1:39" ht="15.75">
      <c r="A207" s="12">
        <v>202</v>
      </c>
      <c r="B207" s="27" t="s">
        <v>251</v>
      </c>
      <c r="C207" s="28">
        <v>1961</v>
      </c>
      <c r="D207" s="28">
        <v>3</v>
      </c>
      <c r="E207" s="28">
        <v>34</v>
      </c>
      <c r="F207" s="28">
        <v>1479.9</v>
      </c>
      <c r="G207" s="29">
        <v>70.7</v>
      </c>
      <c r="H207" s="28">
        <v>1409.2</v>
      </c>
      <c r="I207" s="28"/>
      <c r="J207" s="28">
        <v>915.4</v>
      </c>
      <c r="K207" s="22">
        <v>3</v>
      </c>
      <c r="L207" s="10">
        <v>5.08</v>
      </c>
      <c r="M207" s="16">
        <f t="shared" si="30"/>
        <v>7158.736000000001</v>
      </c>
      <c r="N207" s="16">
        <f t="shared" si="36"/>
        <v>85904.83200000001</v>
      </c>
      <c r="O207" s="17">
        <f t="shared" si="31"/>
        <v>81910.25731200002</v>
      </c>
      <c r="P207" s="77">
        <v>0</v>
      </c>
      <c r="Q207" s="18">
        <v>0</v>
      </c>
      <c r="R207" s="18">
        <v>0</v>
      </c>
      <c r="S207" s="18">
        <v>0</v>
      </c>
      <c r="T207" s="100">
        <v>5.068</v>
      </c>
      <c r="U207" s="18">
        <v>0</v>
      </c>
      <c r="V207" s="18">
        <v>0</v>
      </c>
      <c r="W207" s="18">
        <v>0</v>
      </c>
      <c r="X207" s="278">
        <v>13.518</v>
      </c>
      <c r="Y207" s="18">
        <v>0</v>
      </c>
      <c r="Z207" s="18">
        <v>0</v>
      </c>
      <c r="AA207" s="110">
        <v>1.73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91">
        <f t="shared" si="32"/>
        <v>20.316</v>
      </c>
      <c r="AK207" s="5">
        <f t="shared" si="33"/>
        <v>11238.39465639314</v>
      </c>
      <c r="AL207" s="5">
        <f t="shared" si="34"/>
        <v>7613.93893021849</v>
      </c>
      <c r="AM207" s="5">
        <f t="shared" si="35"/>
        <v>495.85032936939456</v>
      </c>
    </row>
    <row r="208" spans="1:39" ht="15.75">
      <c r="A208" s="12">
        <v>203</v>
      </c>
      <c r="B208" s="27" t="s">
        <v>252</v>
      </c>
      <c r="C208" s="28" t="s">
        <v>245</v>
      </c>
      <c r="D208" s="28">
        <v>4</v>
      </c>
      <c r="E208" s="28">
        <v>19</v>
      </c>
      <c r="F208" s="14">
        <v>1743.2</v>
      </c>
      <c r="G208" s="8">
        <v>101.9</v>
      </c>
      <c r="H208" s="14">
        <v>1641.3</v>
      </c>
      <c r="I208" s="14"/>
      <c r="J208" s="14">
        <v>1151</v>
      </c>
      <c r="K208" s="20">
        <v>2</v>
      </c>
      <c r="L208" s="10">
        <v>5.08</v>
      </c>
      <c r="M208" s="16">
        <f t="shared" si="30"/>
        <v>8337.804</v>
      </c>
      <c r="N208" s="16">
        <f t="shared" si="36"/>
        <v>100053.648</v>
      </c>
      <c r="O208" s="17">
        <f t="shared" si="31"/>
        <v>95401.153368</v>
      </c>
      <c r="P208" s="103">
        <v>2.229</v>
      </c>
      <c r="Q208" s="18">
        <v>0</v>
      </c>
      <c r="R208" s="18">
        <v>0</v>
      </c>
      <c r="S208" s="97">
        <v>3.488</v>
      </c>
      <c r="T208" s="18">
        <v>0</v>
      </c>
      <c r="U208" s="18">
        <v>0</v>
      </c>
      <c r="V208" s="18">
        <v>0</v>
      </c>
      <c r="W208" s="18">
        <v>0</v>
      </c>
      <c r="X208" s="278">
        <v>8.747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91">
        <f t="shared" si="32"/>
        <v>14.464</v>
      </c>
      <c r="AK208" s="5">
        <f t="shared" si="33"/>
        <v>13237.900915618977</v>
      </c>
      <c r="AL208" s="5">
        <f t="shared" si="34"/>
        <v>8968.591352900108</v>
      </c>
      <c r="AM208" s="5">
        <f t="shared" si="35"/>
        <v>584.070744075092</v>
      </c>
    </row>
    <row r="209" spans="1:39" ht="15.75">
      <c r="A209" s="12">
        <v>204</v>
      </c>
      <c r="B209" s="27" t="s">
        <v>253</v>
      </c>
      <c r="C209" s="28">
        <v>1962</v>
      </c>
      <c r="D209" s="28">
        <v>4</v>
      </c>
      <c r="E209" s="28">
        <v>32</v>
      </c>
      <c r="F209" s="14">
        <v>1295.9</v>
      </c>
      <c r="G209" s="8">
        <v>0</v>
      </c>
      <c r="H209" s="14">
        <v>1295.9</v>
      </c>
      <c r="I209" s="14"/>
      <c r="J209" s="14">
        <v>825.52</v>
      </c>
      <c r="K209" s="20">
        <v>2</v>
      </c>
      <c r="L209" s="10">
        <v>5.08</v>
      </c>
      <c r="M209" s="16">
        <f t="shared" si="30"/>
        <v>6583.1720000000005</v>
      </c>
      <c r="N209" s="16">
        <f t="shared" si="36"/>
        <v>78998.06400000001</v>
      </c>
      <c r="O209" s="17">
        <f t="shared" si="31"/>
        <v>75324.65402400002</v>
      </c>
      <c r="P209" s="77">
        <v>0</v>
      </c>
      <c r="Q209" s="18">
        <v>0</v>
      </c>
      <c r="R209" s="18">
        <v>0</v>
      </c>
      <c r="S209" s="97">
        <f>3.483+0.522</f>
        <v>4.005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07">
        <v>1.616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91">
        <f t="shared" si="32"/>
        <v>5.621</v>
      </c>
      <c r="AK209" s="5">
        <f t="shared" si="33"/>
        <v>9841.094422068973</v>
      </c>
      <c r="AL209" s="5">
        <f t="shared" si="34"/>
        <v>6667.277153638855</v>
      </c>
      <c r="AM209" s="5">
        <f t="shared" si="35"/>
        <v>434.19990663544723</v>
      </c>
    </row>
    <row r="210" spans="1:39" ht="15.75" customHeight="1">
      <c r="A210" s="12">
        <v>205</v>
      </c>
      <c r="B210" s="13" t="s">
        <v>254</v>
      </c>
      <c r="C210" s="14">
        <v>1962</v>
      </c>
      <c r="D210" s="14">
        <v>3</v>
      </c>
      <c r="E210" s="14">
        <v>24</v>
      </c>
      <c r="F210" s="14">
        <v>968.2</v>
      </c>
      <c r="G210" s="8">
        <v>0</v>
      </c>
      <c r="H210" s="14">
        <v>968.2</v>
      </c>
      <c r="I210" s="14"/>
      <c r="J210" s="14">
        <v>617.36</v>
      </c>
      <c r="K210" s="20">
        <v>3</v>
      </c>
      <c r="L210" s="10">
        <v>5.08</v>
      </c>
      <c r="M210" s="16">
        <f t="shared" si="30"/>
        <v>4918.456</v>
      </c>
      <c r="N210" s="16">
        <f t="shared" si="36"/>
        <v>59021.472</v>
      </c>
      <c r="O210" s="17">
        <f t="shared" si="31"/>
        <v>56276.973552</v>
      </c>
      <c r="P210" s="77">
        <v>0</v>
      </c>
      <c r="Q210" s="18">
        <v>0</v>
      </c>
      <c r="R210" s="18">
        <v>0</v>
      </c>
      <c r="S210" s="18">
        <v>0</v>
      </c>
      <c r="T210" s="99">
        <v>93.302</v>
      </c>
      <c r="U210" s="18">
        <v>0</v>
      </c>
      <c r="V210" s="18">
        <v>0</v>
      </c>
      <c r="W210" s="18">
        <v>0</v>
      </c>
      <c r="X210" s="18">
        <v>0</v>
      </c>
      <c r="Y210" s="107">
        <v>1.944</v>
      </c>
      <c r="Z210" s="18">
        <v>0</v>
      </c>
      <c r="AA210" s="108">
        <v>32.699</v>
      </c>
      <c r="AB210" s="185">
        <v>1.777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91">
        <f t="shared" si="32"/>
        <v>129.722</v>
      </c>
      <c r="AK210" s="5">
        <f t="shared" si="33"/>
        <v>7352.533080829677</v>
      </c>
      <c r="AL210" s="5">
        <f t="shared" si="34"/>
        <v>4981.293109154363</v>
      </c>
      <c r="AM210" s="5">
        <f t="shared" si="35"/>
        <v>324.4018439728683</v>
      </c>
    </row>
    <row r="211" spans="1:39" ht="15.75">
      <c r="A211" s="12">
        <v>206</v>
      </c>
      <c r="B211" s="13" t="s">
        <v>255</v>
      </c>
      <c r="C211" s="14">
        <v>1967</v>
      </c>
      <c r="D211" s="14">
        <v>5</v>
      </c>
      <c r="E211" s="14">
        <v>120</v>
      </c>
      <c r="F211" s="14">
        <v>5302.8</v>
      </c>
      <c r="G211" s="8">
        <v>0</v>
      </c>
      <c r="H211" s="14">
        <v>5302.8</v>
      </c>
      <c r="I211" s="14"/>
      <c r="J211" s="14">
        <v>3447.18</v>
      </c>
      <c r="K211" s="20">
        <v>6</v>
      </c>
      <c r="L211" s="10">
        <v>5.08</v>
      </c>
      <c r="M211" s="16">
        <f t="shared" si="30"/>
        <v>26938.224000000002</v>
      </c>
      <c r="N211" s="16">
        <f>M211*$N$1</f>
        <v>323258.688</v>
      </c>
      <c r="O211" s="17">
        <f t="shared" si="31"/>
        <v>308227.15900800005</v>
      </c>
      <c r="P211" s="103">
        <f>4.018+22.584</f>
        <v>26.602</v>
      </c>
      <c r="Q211" s="18">
        <v>0</v>
      </c>
      <c r="R211" s="18">
        <v>0</v>
      </c>
      <c r="S211" s="97">
        <v>15.547</v>
      </c>
      <c r="T211" s="99">
        <v>4.384</v>
      </c>
      <c r="U211" s="18">
        <v>0</v>
      </c>
      <c r="V211" s="104">
        <v>3.451</v>
      </c>
      <c r="W211" s="18">
        <v>0</v>
      </c>
      <c r="X211" s="278">
        <v>43.733</v>
      </c>
      <c r="Y211" s="107">
        <v>6.238</v>
      </c>
      <c r="Z211" s="106">
        <v>16.237</v>
      </c>
      <c r="AA211" s="18">
        <v>3.497</v>
      </c>
      <c r="AB211" s="18">
        <v>0</v>
      </c>
      <c r="AC211" s="187">
        <v>9.913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91">
        <f t="shared" si="32"/>
        <v>129.602</v>
      </c>
      <c r="AK211" s="5">
        <f t="shared" si="33"/>
        <v>40269.58523138154</v>
      </c>
      <c r="AL211" s="5">
        <f t="shared" si="34"/>
        <v>27282.38080894831</v>
      </c>
      <c r="AM211" s="5">
        <f t="shared" si="35"/>
        <v>1776.7383786607377</v>
      </c>
    </row>
    <row r="212" spans="1:39" ht="15.75">
      <c r="A212" s="12">
        <v>207</v>
      </c>
      <c r="B212" s="13" t="s">
        <v>256</v>
      </c>
      <c r="C212" s="14">
        <v>1974</v>
      </c>
      <c r="D212" s="14">
        <v>5</v>
      </c>
      <c r="E212" s="14">
        <v>107</v>
      </c>
      <c r="F212" s="14">
        <v>5407.6</v>
      </c>
      <c r="G212" s="8">
        <v>349.4</v>
      </c>
      <c r="H212" s="14">
        <v>5058.2</v>
      </c>
      <c r="I212" s="14"/>
      <c r="J212" s="14">
        <v>3398.7</v>
      </c>
      <c r="K212" s="20">
        <v>7</v>
      </c>
      <c r="L212" s="10">
        <v>5.08</v>
      </c>
      <c r="M212" s="16">
        <f t="shared" si="30"/>
        <v>25695.656</v>
      </c>
      <c r="N212" s="16">
        <f t="shared" si="36"/>
        <v>308347.872</v>
      </c>
      <c r="O212" s="17">
        <f t="shared" si="31"/>
        <v>294009.695952</v>
      </c>
      <c r="P212" s="103">
        <f>14.347+11.383</f>
        <v>25.729999999999997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07">
        <v>6.238</v>
      </c>
      <c r="Z212" s="18">
        <v>0</v>
      </c>
      <c r="AA212" s="110">
        <v>2.541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91">
        <f t="shared" si="32"/>
        <v>34.50899999999999</v>
      </c>
      <c r="AK212" s="5">
        <f t="shared" si="33"/>
        <v>41065.43884310531</v>
      </c>
      <c r="AL212" s="5">
        <f t="shared" si="34"/>
        <v>27821.566429521932</v>
      </c>
      <c r="AM212" s="5">
        <f t="shared" si="35"/>
        <v>1811.852315087464</v>
      </c>
    </row>
    <row r="213" spans="1:39" ht="15.75">
      <c r="A213" s="12">
        <v>208</v>
      </c>
      <c r="B213" s="13" t="s">
        <v>257</v>
      </c>
      <c r="C213" s="14">
        <v>1972</v>
      </c>
      <c r="D213" s="14">
        <v>5</v>
      </c>
      <c r="E213" s="14">
        <v>69</v>
      </c>
      <c r="F213" s="14">
        <v>3378.7</v>
      </c>
      <c r="G213" s="8">
        <v>43.2</v>
      </c>
      <c r="H213" s="14">
        <v>3318.2</v>
      </c>
      <c r="I213" s="14"/>
      <c r="J213" s="14">
        <v>2230.3</v>
      </c>
      <c r="K213" s="20">
        <v>4</v>
      </c>
      <c r="L213" s="10">
        <v>5.08</v>
      </c>
      <c r="M213" s="16">
        <f t="shared" si="30"/>
        <v>16856.456</v>
      </c>
      <c r="N213" s="16">
        <f t="shared" si="36"/>
        <v>202277.47199999998</v>
      </c>
      <c r="O213" s="17">
        <f t="shared" si="31"/>
        <v>192871.56955199997</v>
      </c>
      <c r="P213" s="103">
        <f>15.091+16.885</f>
        <v>31.976</v>
      </c>
      <c r="Q213" s="18">
        <v>0</v>
      </c>
      <c r="R213" s="18">
        <v>0</v>
      </c>
      <c r="S213" s="97">
        <v>2.311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07">
        <v>6.238</v>
      </c>
      <c r="Z213" s="106">
        <v>30.156</v>
      </c>
      <c r="AA213" s="110">
        <v>2.098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91">
        <f t="shared" si="32"/>
        <v>72.779</v>
      </c>
      <c r="AK213" s="5">
        <f t="shared" si="33"/>
        <v>25657.925552777553</v>
      </c>
      <c r="AL213" s="5">
        <f t="shared" si="34"/>
        <v>17383.076872443547</v>
      </c>
      <c r="AM213" s="5">
        <f t="shared" si="35"/>
        <v>1132.055887452107</v>
      </c>
    </row>
    <row r="214" spans="1:39" ht="15.75">
      <c r="A214" s="12">
        <v>209</v>
      </c>
      <c r="B214" s="13" t="s">
        <v>258</v>
      </c>
      <c r="C214" s="14">
        <v>1973</v>
      </c>
      <c r="D214" s="14">
        <v>5</v>
      </c>
      <c r="E214" s="14">
        <v>128</v>
      </c>
      <c r="F214" s="14">
        <v>6556.1</v>
      </c>
      <c r="G214" s="8">
        <v>365.2</v>
      </c>
      <c r="H214" s="14">
        <v>6190.9</v>
      </c>
      <c r="I214" s="14"/>
      <c r="J214" s="14">
        <v>4216.9</v>
      </c>
      <c r="K214" s="20">
        <v>8</v>
      </c>
      <c r="L214" s="10">
        <v>5.08</v>
      </c>
      <c r="M214" s="16">
        <f t="shared" si="30"/>
        <v>31449.771999999997</v>
      </c>
      <c r="N214" s="16">
        <f t="shared" si="36"/>
        <v>377397.26399999997</v>
      </c>
      <c r="O214" s="17">
        <f t="shared" si="31"/>
        <v>359848.291224</v>
      </c>
      <c r="P214" s="103">
        <f>37.163+0.337</f>
        <v>37.5</v>
      </c>
      <c r="Q214" s="18">
        <v>0</v>
      </c>
      <c r="R214" s="18">
        <v>0</v>
      </c>
      <c r="S214" s="97">
        <v>4.622</v>
      </c>
      <c r="T214" s="99">
        <f>120.751+187.953+187.953</f>
        <v>496.65700000000004</v>
      </c>
      <c r="U214" s="96">
        <f>0.185</f>
        <v>0.185</v>
      </c>
      <c r="V214" s="18">
        <v>0</v>
      </c>
      <c r="W214" s="18">
        <v>0</v>
      </c>
      <c r="X214" s="279">
        <v>1.578</v>
      </c>
      <c r="Y214" s="18">
        <v>0</v>
      </c>
      <c r="Z214" s="106">
        <v>0.086</v>
      </c>
      <c r="AA214" s="110">
        <v>12.96</v>
      </c>
      <c r="AB214" s="185">
        <v>0.575</v>
      </c>
      <c r="AC214" s="187">
        <v>131.329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91">
        <f t="shared" si="32"/>
        <v>685.492</v>
      </c>
      <c r="AK214" s="5">
        <f t="shared" si="33"/>
        <v>49787.17427311242</v>
      </c>
      <c r="AL214" s="5">
        <f t="shared" si="34"/>
        <v>33730.485181705146</v>
      </c>
      <c r="AM214" s="5">
        <f t="shared" si="35"/>
        <v>2196.664872206695</v>
      </c>
    </row>
    <row r="215" spans="1:39" ht="15.75">
      <c r="A215" s="12">
        <v>210</v>
      </c>
      <c r="B215" s="13" t="s">
        <v>259</v>
      </c>
      <c r="C215" s="14">
        <v>1976</v>
      </c>
      <c r="D215" s="14">
        <v>5</v>
      </c>
      <c r="E215" s="14">
        <v>104</v>
      </c>
      <c r="F215" s="14">
        <v>6823.2</v>
      </c>
      <c r="G215" s="8">
        <v>1835.6</v>
      </c>
      <c r="H215" s="14">
        <v>4987.6</v>
      </c>
      <c r="I215" s="14"/>
      <c r="J215" s="14">
        <v>3325.5</v>
      </c>
      <c r="K215" s="20">
        <v>7</v>
      </c>
      <c r="L215" s="10">
        <v>5.08</v>
      </c>
      <c r="M215" s="16">
        <f t="shared" si="30"/>
        <v>25337.008</v>
      </c>
      <c r="N215" s="16">
        <f t="shared" si="36"/>
        <v>304044.096</v>
      </c>
      <c r="O215" s="17">
        <f t="shared" si="31"/>
        <v>289906.04553600005</v>
      </c>
      <c r="P215" s="77">
        <v>0</v>
      </c>
      <c r="Q215" s="18">
        <v>0</v>
      </c>
      <c r="R215" s="18">
        <v>0</v>
      </c>
      <c r="S215" s="97">
        <v>0.348</v>
      </c>
      <c r="T215" s="18">
        <v>0</v>
      </c>
      <c r="U215" s="96">
        <f>1.546</f>
        <v>1.546</v>
      </c>
      <c r="V215" s="18">
        <v>0</v>
      </c>
      <c r="W215" s="18">
        <v>0</v>
      </c>
      <c r="X215" s="18">
        <v>0</v>
      </c>
      <c r="Y215" s="107">
        <v>10.734</v>
      </c>
      <c r="Z215" s="18">
        <v>0</v>
      </c>
      <c r="AA215" s="110">
        <v>4.089</v>
      </c>
      <c r="AB215" s="18">
        <v>0</v>
      </c>
      <c r="AC215" s="187">
        <v>0.49819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91">
        <f t="shared" si="32"/>
        <v>17.21519</v>
      </c>
      <c r="AK215" s="5">
        <f t="shared" si="33"/>
        <v>51815.53781978625</v>
      </c>
      <c r="AL215" s="5">
        <f t="shared" si="34"/>
        <v>35104.68822803351</v>
      </c>
      <c r="AM215" s="5">
        <f t="shared" si="35"/>
        <v>2286.158502164506</v>
      </c>
    </row>
    <row r="216" spans="1:39" ht="15.75">
      <c r="A216" s="12">
        <v>211</v>
      </c>
      <c r="B216" s="27" t="s">
        <v>260</v>
      </c>
      <c r="C216" s="28">
        <v>1972</v>
      </c>
      <c r="D216" s="28">
        <v>5</v>
      </c>
      <c r="E216" s="28">
        <v>97</v>
      </c>
      <c r="F216" s="28">
        <v>4522.9</v>
      </c>
      <c r="G216" s="29">
        <v>126.7</v>
      </c>
      <c r="H216" s="28">
        <v>4396.2</v>
      </c>
      <c r="I216" s="28"/>
      <c r="J216" s="30">
        <v>4396.2</v>
      </c>
      <c r="K216" s="22">
        <v>6</v>
      </c>
      <c r="L216" s="10">
        <v>5.08</v>
      </c>
      <c r="M216" s="16">
        <f t="shared" si="30"/>
        <v>22332.696</v>
      </c>
      <c r="N216" s="16">
        <f>M216*$N$1</f>
        <v>267992.352</v>
      </c>
      <c r="O216" s="17">
        <f t="shared" si="31"/>
        <v>255530.707632</v>
      </c>
      <c r="P216" s="77">
        <v>0</v>
      </c>
      <c r="Q216" s="142">
        <v>5.358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278">
        <v>26.24</v>
      </c>
      <c r="Y216" s="18">
        <v>0</v>
      </c>
      <c r="Z216" s="18">
        <v>0</v>
      </c>
      <c r="AA216" s="110">
        <v>8.187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91">
        <f t="shared" si="32"/>
        <v>39.785</v>
      </c>
      <c r="AK216" s="5">
        <f t="shared" si="33"/>
        <v>34347.00668383035</v>
      </c>
      <c r="AL216" s="5">
        <f t="shared" si="34"/>
        <v>23269.87255050017</v>
      </c>
      <c r="AM216" s="5">
        <f t="shared" si="35"/>
        <v>1515.4277009965772</v>
      </c>
    </row>
    <row r="217" spans="1:39" ht="15.75">
      <c r="A217" s="12">
        <v>212</v>
      </c>
      <c r="B217" s="27" t="s">
        <v>261</v>
      </c>
      <c r="C217" s="28">
        <v>1981</v>
      </c>
      <c r="D217" s="28">
        <v>5</v>
      </c>
      <c r="E217" s="28">
        <v>104</v>
      </c>
      <c r="F217" s="28">
        <v>7885.2</v>
      </c>
      <c r="G217" s="29">
        <v>2911.2</v>
      </c>
      <c r="H217" s="28">
        <v>4974</v>
      </c>
      <c r="I217" s="28"/>
      <c r="J217" s="28">
        <v>2945.7</v>
      </c>
      <c r="K217" s="22">
        <v>9</v>
      </c>
      <c r="L217" s="10">
        <v>5.08</v>
      </c>
      <c r="M217" s="16">
        <f t="shared" si="30"/>
        <v>25267.920000000002</v>
      </c>
      <c r="N217" s="16">
        <f t="shared" si="36"/>
        <v>303215.04000000004</v>
      </c>
      <c r="O217" s="17">
        <f t="shared" si="31"/>
        <v>289115.54064</v>
      </c>
      <c r="P217" s="77">
        <v>0</v>
      </c>
      <c r="Q217" s="18">
        <v>0</v>
      </c>
      <c r="R217" s="18">
        <v>0</v>
      </c>
      <c r="S217" s="18">
        <v>0</v>
      </c>
      <c r="T217" s="100">
        <v>1.107</v>
      </c>
      <c r="U217" s="18">
        <v>0</v>
      </c>
      <c r="V217" s="18">
        <v>0</v>
      </c>
      <c r="W217" s="18">
        <v>0</v>
      </c>
      <c r="X217" s="18">
        <v>0</v>
      </c>
      <c r="Y217" s="107">
        <v>1.218</v>
      </c>
      <c r="Z217" s="106">
        <f>13.738+7.539+23.618</f>
        <v>44.894999999999996</v>
      </c>
      <c r="AA217" s="110">
        <v>1.672</v>
      </c>
      <c r="AB217" s="185">
        <v>49.26</v>
      </c>
      <c r="AC217" s="187">
        <f>0.876+0.274</f>
        <v>1.15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91">
        <f t="shared" si="32"/>
        <v>99.30199999999999</v>
      </c>
      <c r="AK217" s="5">
        <f t="shared" si="33"/>
        <v>59880.39025920074</v>
      </c>
      <c r="AL217" s="5">
        <f t="shared" si="34"/>
        <v>40568.5730472051</v>
      </c>
      <c r="AM217" s="5">
        <f t="shared" si="35"/>
        <v>2641.9886594658756</v>
      </c>
    </row>
    <row r="218" spans="1:39" ht="15.75">
      <c r="A218" s="12">
        <v>213</v>
      </c>
      <c r="B218" s="27" t="s">
        <v>262</v>
      </c>
      <c r="C218" s="28">
        <v>1971</v>
      </c>
      <c r="D218" s="28">
        <v>5</v>
      </c>
      <c r="E218" s="28">
        <v>128</v>
      </c>
      <c r="F218" s="28">
        <f>6598.9</f>
        <v>6598.9</v>
      </c>
      <c r="G218" s="29">
        <f>F218-H218</f>
        <v>424.2999999999993</v>
      </c>
      <c r="H218" s="28">
        <f>6174.6</f>
        <v>6174.6</v>
      </c>
      <c r="I218" s="28"/>
      <c r="J218" s="28">
        <v>4133.7</v>
      </c>
      <c r="K218" s="22">
        <v>8</v>
      </c>
      <c r="L218" s="10">
        <v>5.08</v>
      </c>
      <c r="M218" s="16">
        <f t="shared" si="30"/>
        <v>31366.968</v>
      </c>
      <c r="N218" s="16">
        <f t="shared" si="36"/>
        <v>376403.61600000004</v>
      </c>
      <c r="O218" s="17">
        <f t="shared" si="31"/>
        <v>358900.84785600007</v>
      </c>
      <c r="P218" s="103">
        <v>0.077</v>
      </c>
      <c r="Q218" s="142">
        <v>4.413</v>
      </c>
      <c r="R218" s="18">
        <v>0</v>
      </c>
      <c r="S218" s="18">
        <v>0</v>
      </c>
      <c r="T218" s="18">
        <v>0</v>
      </c>
      <c r="U218" s="96">
        <f>0.844</f>
        <v>0.844</v>
      </c>
      <c r="V218" s="18">
        <v>0</v>
      </c>
      <c r="W218" s="18">
        <v>0</v>
      </c>
      <c r="X218" s="18">
        <v>0</v>
      </c>
      <c r="Y218" s="107">
        <v>7.12</v>
      </c>
      <c r="Z218" s="106">
        <v>15.078</v>
      </c>
      <c r="AA218" s="110">
        <v>55.008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91">
        <f t="shared" si="32"/>
        <v>82.54</v>
      </c>
      <c r="AK218" s="5">
        <f t="shared" si="33"/>
        <v>50112.19845805303</v>
      </c>
      <c r="AL218" s="5">
        <f t="shared" si="34"/>
        <v>33950.686942779095</v>
      </c>
      <c r="AM218" s="5">
        <f t="shared" si="35"/>
        <v>2211.0052966252433</v>
      </c>
    </row>
    <row r="219" spans="1:39" ht="15.75">
      <c r="A219" s="12">
        <v>214</v>
      </c>
      <c r="B219" s="27" t="s">
        <v>263</v>
      </c>
      <c r="C219" s="28">
        <v>1979</v>
      </c>
      <c r="D219" s="28" t="s">
        <v>264</v>
      </c>
      <c r="E219" s="28">
        <v>105</v>
      </c>
      <c r="F219" s="28">
        <v>6267.1</v>
      </c>
      <c r="G219" s="29">
        <v>673.1</v>
      </c>
      <c r="H219" s="28">
        <v>5594</v>
      </c>
      <c r="I219" s="28"/>
      <c r="J219" s="28">
        <v>3351.2</v>
      </c>
      <c r="K219" s="22">
        <v>5</v>
      </c>
      <c r="L219" s="10">
        <v>5.08</v>
      </c>
      <c r="M219" s="16">
        <f t="shared" si="30"/>
        <v>28417.52</v>
      </c>
      <c r="N219" s="16">
        <f t="shared" si="36"/>
        <v>341010.24</v>
      </c>
      <c r="O219" s="17">
        <f t="shared" si="31"/>
        <v>325153.26383999997</v>
      </c>
      <c r="P219" s="77">
        <v>0</v>
      </c>
      <c r="Q219" s="142">
        <v>15.43</v>
      </c>
      <c r="R219" s="18">
        <v>0</v>
      </c>
      <c r="S219" s="97">
        <f>1.792+6.274+0.135+91.167+2.138</f>
        <v>101.506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91">
        <f t="shared" si="32"/>
        <v>116.936</v>
      </c>
      <c r="AK219" s="5">
        <f t="shared" si="33"/>
        <v>47592.50162246196</v>
      </c>
      <c r="AL219" s="5">
        <f t="shared" si="34"/>
        <v>32243.608804359956</v>
      </c>
      <c r="AM219" s="5">
        <f t="shared" si="35"/>
        <v>2099.8335017169625</v>
      </c>
    </row>
    <row r="220" spans="1:39" ht="15.75">
      <c r="A220" s="12">
        <v>215</v>
      </c>
      <c r="B220" s="27" t="s">
        <v>265</v>
      </c>
      <c r="C220" s="28">
        <v>1984</v>
      </c>
      <c r="D220" s="28">
        <v>5</v>
      </c>
      <c r="E220" s="28">
        <v>75</v>
      </c>
      <c r="F220" s="28">
        <v>4168.8</v>
      </c>
      <c r="G220" s="29">
        <v>690.5</v>
      </c>
      <c r="H220" s="28">
        <v>3478.3</v>
      </c>
      <c r="I220" s="28"/>
      <c r="J220" s="28">
        <v>2025.8</v>
      </c>
      <c r="K220" s="22">
        <v>5</v>
      </c>
      <c r="L220" s="10">
        <v>5.08</v>
      </c>
      <c r="M220" s="16">
        <f t="shared" si="30"/>
        <v>17669.764000000003</v>
      </c>
      <c r="N220" s="16">
        <f t="shared" si="36"/>
        <v>212037.16800000003</v>
      </c>
      <c r="O220" s="17">
        <f t="shared" si="31"/>
        <v>202177.43968800004</v>
      </c>
      <c r="P220" s="77">
        <v>0</v>
      </c>
      <c r="Q220" s="18">
        <v>0</v>
      </c>
      <c r="R220" s="184">
        <v>19.904</v>
      </c>
      <c r="S220" s="18">
        <v>0</v>
      </c>
      <c r="T220" s="18">
        <v>0</v>
      </c>
      <c r="U220" s="96">
        <f>11.323+0.19+6.759</f>
        <v>18.272</v>
      </c>
      <c r="V220" s="18">
        <v>0</v>
      </c>
      <c r="W220" s="18">
        <v>0</v>
      </c>
      <c r="X220" s="278">
        <v>52.48</v>
      </c>
      <c r="Y220" s="107">
        <v>5.542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91">
        <f t="shared" si="32"/>
        <v>96.19800000000001</v>
      </c>
      <c r="AK220" s="5">
        <f t="shared" si="33"/>
        <v>31657.963135057587</v>
      </c>
      <c r="AL220" s="5">
        <f t="shared" si="34"/>
        <v>21448.063120680345</v>
      </c>
      <c r="AM220" s="5">
        <f t="shared" si="35"/>
        <v>1396.7841428982579</v>
      </c>
    </row>
    <row r="221" spans="1:39" ht="15.75">
      <c r="A221" s="12">
        <v>216</v>
      </c>
      <c r="B221" s="27" t="s">
        <v>266</v>
      </c>
      <c r="C221" s="28">
        <v>1987</v>
      </c>
      <c r="D221" s="28">
        <v>9</v>
      </c>
      <c r="E221" s="28">
        <v>251</v>
      </c>
      <c r="F221" s="28">
        <v>14062.5</v>
      </c>
      <c r="G221" s="29">
        <v>17.7</v>
      </c>
      <c r="H221" s="28">
        <v>14044.8</v>
      </c>
      <c r="I221" s="28"/>
      <c r="J221" s="28">
        <v>8340.8</v>
      </c>
      <c r="K221" s="22">
        <v>7</v>
      </c>
      <c r="L221" s="10">
        <v>5.08</v>
      </c>
      <c r="M221" s="16">
        <f t="shared" si="30"/>
        <v>71347.584</v>
      </c>
      <c r="N221" s="16">
        <f t="shared" si="36"/>
        <v>856171.008</v>
      </c>
      <c r="O221" s="17">
        <f t="shared" si="31"/>
        <v>816359.056128</v>
      </c>
      <c r="P221" s="103">
        <v>2.473</v>
      </c>
      <c r="Q221" s="18">
        <v>0</v>
      </c>
      <c r="R221" s="184">
        <v>19.904</v>
      </c>
      <c r="S221" s="18">
        <v>0</v>
      </c>
      <c r="T221" s="18">
        <v>0</v>
      </c>
      <c r="U221" s="96">
        <f>9.512+4.08</f>
        <v>13.592</v>
      </c>
      <c r="V221" s="18">
        <v>0</v>
      </c>
      <c r="W221" s="18">
        <v>0</v>
      </c>
      <c r="X221" s="18">
        <v>0</v>
      </c>
      <c r="Y221" s="107">
        <v>15.444</v>
      </c>
      <c r="Z221" s="18">
        <v>0</v>
      </c>
      <c r="AA221" s="111">
        <v>18.911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91">
        <f t="shared" si="32"/>
        <v>70.32400000000001</v>
      </c>
      <c r="AK221" s="5">
        <f t="shared" si="33"/>
        <v>106790.9486151284</v>
      </c>
      <c r="AL221" s="5">
        <f t="shared" si="34"/>
        <v>72350.16974538652</v>
      </c>
      <c r="AM221" s="5">
        <f t="shared" si="35"/>
        <v>4711.73407443551</v>
      </c>
    </row>
    <row r="222" spans="1:39" ht="15.75">
      <c r="A222" s="12">
        <v>217</v>
      </c>
      <c r="B222" s="27" t="s">
        <v>267</v>
      </c>
      <c r="C222" s="28">
        <v>1982</v>
      </c>
      <c r="D222" s="28">
        <v>9</v>
      </c>
      <c r="E222" s="28">
        <v>323</v>
      </c>
      <c r="F222" s="28">
        <v>16045.9</v>
      </c>
      <c r="G222" s="29">
        <v>0</v>
      </c>
      <c r="H222" s="28">
        <v>16045.9</v>
      </c>
      <c r="I222" s="28"/>
      <c r="J222" s="28">
        <v>10548.1</v>
      </c>
      <c r="K222" s="22">
        <v>9</v>
      </c>
      <c r="L222" s="10">
        <v>5.08</v>
      </c>
      <c r="M222" s="16">
        <f t="shared" si="30"/>
        <v>81513.172</v>
      </c>
      <c r="N222" s="16">
        <f>M222*$N$1</f>
        <v>978158.064</v>
      </c>
      <c r="O222" s="17">
        <f t="shared" si="31"/>
        <v>932673.714024</v>
      </c>
      <c r="P222" s="103">
        <f>1.486+9.094</f>
        <v>10.58</v>
      </c>
      <c r="Q222" s="18">
        <v>0</v>
      </c>
      <c r="R222" s="184">
        <f>8.16+35.473</f>
        <v>43.632999999999996</v>
      </c>
      <c r="S222" s="18">
        <v>0</v>
      </c>
      <c r="T222" s="18">
        <v>0</v>
      </c>
      <c r="U222" s="96">
        <f>0.668+43.672</f>
        <v>44.339999999999996</v>
      </c>
      <c r="V222" s="18">
        <v>0</v>
      </c>
      <c r="W222" s="18">
        <v>0</v>
      </c>
      <c r="X222" s="18">
        <v>0</v>
      </c>
      <c r="Y222" s="107">
        <v>3.089</v>
      </c>
      <c r="Z222" s="18">
        <v>0</v>
      </c>
      <c r="AA222" s="110">
        <v>83.252</v>
      </c>
      <c r="AB222" s="185">
        <v>2.52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91">
        <f t="shared" si="32"/>
        <v>187.41400000000002</v>
      </c>
      <c r="AK222" s="5">
        <f t="shared" si="33"/>
        <v>121852.93385838142</v>
      </c>
      <c r="AL222" s="5">
        <f t="shared" si="34"/>
        <v>82554.56630879981</v>
      </c>
      <c r="AM222" s="5">
        <f t="shared" si="35"/>
        <v>5376.285424710026</v>
      </c>
    </row>
    <row r="223" spans="1:39" ht="15.75">
      <c r="A223" s="12">
        <v>218</v>
      </c>
      <c r="B223" s="27" t="s">
        <v>268</v>
      </c>
      <c r="C223" s="28">
        <v>1982</v>
      </c>
      <c r="D223" s="28">
        <v>9</v>
      </c>
      <c r="E223" s="28">
        <v>394</v>
      </c>
      <c r="F223" s="28">
        <v>19874.5</v>
      </c>
      <c r="G223" s="29">
        <v>0</v>
      </c>
      <c r="H223" s="28">
        <v>19874.5</v>
      </c>
      <c r="I223" s="28"/>
      <c r="J223" s="28">
        <v>12968.8</v>
      </c>
      <c r="K223" s="22">
        <v>11</v>
      </c>
      <c r="L223" s="10">
        <v>5.08</v>
      </c>
      <c r="M223" s="16">
        <f t="shared" si="30"/>
        <v>100962.46</v>
      </c>
      <c r="N223" s="16">
        <f t="shared" si="36"/>
        <v>1211549.52</v>
      </c>
      <c r="O223" s="17">
        <f t="shared" si="31"/>
        <v>1155212.46732</v>
      </c>
      <c r="P223" s="103">
        <v>1.486</v>
      </c>
      <c r="Q223" s="18">
        <v>0</v>
      </c>
      <c r="R223" s="184">
        <v>19.904</v>
      </c>
      <c r="S223" s="18">
        <v>0</v>
      </c>
      <c r="T223" s="100">
        <v>20.684</v>
      </c>
      <c r="U223" s="96">
        <f>2.119+3.949</f>
        <v>6.068</v>
      </c>
      <c r="V223" s="18">
        <v>0</v>
      </c>
      <c r="W223" s="18">
        <v>0</v>
      </c>
      <c r="X223" s="18">
        <v>0</v>
      </c>
      <c r="Y223" s="107">
        <v>9.133</v>
      </c>
      <c r="Z223" s="106">
        <f>0.086+15.078+0.086</f>
        <v>15.25</v>
      </c>
      <c r="AA223" s="110">
        <v>35.861</v>
      </c>
      <c r="AB223" s="18">
        <v>0</v>
      </c>
      <c r="AC223" s="18">
        <v>0</v>
      </c>
      <c r="AD223" s="105">
        <f>0.2835+1.985</f>
        <v>2.2685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91">
        <f t="shared" si="32"/>
        <v>110.6545</v>
      </c>
      <c r="AK223" s="5">
        <f t="shared" si="33"/>
        <v>150927.41036454184</v>
      </c>
      <c r="AL223" s="5">
        <f t="shared" si="34"/>
        <v>102252.33412299977</v>
      </c>
      <c r="AM223" s="5">
        <f t="shared" si="35"/>
        <v>6659.08329687954</v>
      </c>
    </row>
    <row r="224" spans="1:39" ht="15.75">
      <c r="A224" s="12">
        <v>219</v>
      </c>
      <c r="B224" s="24" t="s">
        <v>269</v>
      </c>
      <c r="C224" s="25">
        <v>1959</v>
      </c>
      <c r="D224" s="25">
        <v>3</v>
      </c>
      <c r="E224" s="25">
        <v>4</v>
      </c>
      <c r="F224" s="25">
        <v>1586.9</v>
      </c>
      <c r="G224" s="26">
        <v>23.1</v>
      </c>
      <c r="H224" s="25">
        <v>1563.8</v>
      </c>
      <c r="I224" s="25"/>
      <c r="J224" s="25">
        <v>800</v>
      </c>
      <c r="K224" s="22">
        <v>1</v>
      </c>
      <c r="L224" s="10">
        <v>5.08</v>
      </c>
      <c r="M224" s="16">
        <f t="shared" si="30"/>
        <v>7944.104</v>
      </c>
      <c r="N224" s="16">
        <f t="shared" si="36"/>
        <v>95329.248</v>
      </c>
      <c r="O224" s="17">
        <f t="shared" si="31"/>
        <v>90896.43796800001</v>
      </c>
      <c r="P224" s="77">
        <v>0</v>
      </c>
      <c r="Q224" s="142">
        <v>5.612</v>
      </c>
      <c r="R224" s="18">
        <v>0</v>
      </c>
      <c r="S224" s="97">
        <v>5.2923</v>
      </c>
      <c r="T224" s="18">
        <v>0</v>
      </c>
      <c r="U224" s="96">
        <f>28.298</f>
        <v>28.298</v>
      </c>
      <c r="V224" s="18">
        <v>0</v>
      </c>
      <c r="W224" s="18">
        <v>0</v>
      </c>
      <c r="X224" s="278">
        <v>52.48</v>
      </c>
      <c r="Y224" s="18">
        <v>0</v>
      </c>
      <c r="Z224" s="18">
        <v>0</v>
      </c>
      <c r="AA224" s="18">
        <v>0</v>
      </c>
      <c r="AB224" s="185">
        <v>0.48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91">
        <f t="shared" si="32"/>
        <v>92.1623</v>
      </c>
      <c r="AK224" s="5">
        <f t="shared" si="33"/>
        <v>12050.955118744696</v>
      </c>
      <c r="AL224" s="5">
        <f t="shared" si="34"/>
        <v>8164.443332903386</v>
      </c>
      <c r="AM224" s="5">
        <f t="shared" si="35"/>
        <v>531.701390415766</v>
      </c>
    </row>
    <row r="225" spans="1:36" s="65" customFormat="1" ht="15.75">
      <c r="A225" s="56">
        <v>220</v>
      </c>
      <c r="B225" s="57" t="s">
        <v>270</v>
      </c>
      <c r="C225" s="58">
        <v>1965</v>
      </c>
      <c r="D225" s="58">
        <v>1</v>
      </c>
      <c r="E225" s="58">
        <v>2</v>
      </c>
      <c r="F225" s="58">
        <v>68.6</v>
      </c>
      <c r="G225" s="59"/>
      <c r="H225" s="58">
        <f>68.6*0</f>
        <v>0</v>
      </c>
      <c r="I225" s="58"/>
      <c r="J225" s="58"/>
      <c r="K225" s="57">
        <v>1</v>
      </c>
      <c r="L225" s="60" t="s">
        <v>336</v>
      </c>
      <c r="M225" s="61">
        <v>0</v>
      </c>
      <c r="N225" s="61">
        <v>0</v>
      </c>
      <c r="O225" s="62">
        <f t="shared" si="31"/>
        <v>0</v>
      </c>
      <c r="P225" s="78">
        <v>0</v>
      </c>
      <c r="Q225" s="63">
        <v>0</v>
      </c>
      <c r="R225" s="63">
        <v>0</v>
      </c>
      <c r="S225" s="63">
        <v>0</v>
      </c>
      <c r="T225" s="63">
        <v>0</v>
      </c>
      <c r="U225" s="63">
        <v>0</v>
      </c>
      <c r="V225" s="63">
        <v>0</v>
      </c>
      <c r="W225" s="63">
        <v>0</v>
      </c>
      <c r="X225" s="63">
        <v>0</v>
      </c>
      <c r="Y225" s="63">
        <v>0</v>
      </c>
      <c r="Z225" s="63">
        <v>0</v>
      </c>
      <c r="AA225" s="63">
        <v>0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63">
        <v>0</v>
      </c>
      <c r="AH225" s="63">
        <v>0</v>
      </c>
      <c r="AI225" s="63">
        <v>0</v>
      </c>
      <c r="AJ225" s="64">
        <f t="shared" si="32"/>
        <v>0</v>
      </c>
    </row>
    <row r="226" spans="1:36" s="93" customFormat="1" ht="15.75">
      <c r="A226" s="82">
        <v>221</v>
      </c>
      <c r="B226" s="83" t="s">
        <v>271</v>
      </c>
      <c r="C226" s="84" t="s">
        <v>171</v>
      </c>
      <c r="D226" s="84">
        <v>2</v>
      </c>
      <c r="E226" s="84">
        <v>8</v>
      </c>
      <c r="F226" s="84">
        <v>274.5</v>
      </c>
      <c r="G226" s="85">
        <v>0</v>
      </c>
      <c r="H226" s="84">
        <f>274.5-I226</f>
        <v>31</v>
      </c>
      <c r="I226" s="84">
        <f>74+169.5</f>
        <v>243.5</v>
      </c>
      <c r="J226" s="84">
        <v>185.2</v>
      </c>
      <c r="K226" s="94">
        <v>1</v>
      </c>
      <c r="L226" s="87">
        <v>5.08</v>
      </c>
      <c r="M226" s="88">
        <f t="shared" si="30"/>
        <v>157.48</v>
      </c>
      <c r="N226" s="88">
        <f t="shared" si="36"/>
        <v>1889.7599999999998</v>
      </c>
      <c r="O226" s="89">
        <f t="shared" si="31"/>
        <v>1801.8861599999998</v>
      </c>
      <c r="P226" s="90">
        <v>0</v>
      </c>
      <c r="Q226" s="91">
        <v>0</v>
      </c>
      <c r="R226" s="91">
        <v>0</v>
      </c>
      <c r="S226" s="91">
        <v>0</v>
      </c>
      <c r="T226" s="91">
        <v>0</v>
      </c>
      <c r="U226" s="91">
        <v>0</v>
      </c>
      <c r="V226" s="91">
        <v>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91">
        <v>0</v>
      </c>
      <c r="AD226" s="91">
        <v>0</v>
      </c>
      <c r="AE226" s="91">
        <v>0</v>
      </c>
      <c r="AF226" s="91">
        <v>0</v>
      </c>
      <c r="AG226" s="91">
        <v>0</v>
      </c>
      <c r="AH226" s="91">
        <v>0</v>
      </c>
      <c r="AI226" s="91">
        <v>0</v>
      </c>
      <c r="AJ226" s="92">
        <f t="shared" si="32"/>
        <v>0</v>
      </c>
    </row>
    <row r="227" spans="1:39" ht="15.75">
      <c r="A227" s="12">
        <v>222</v>
      </c>
      <c r="B227" s="27" t="s">
        <v>272</v>
      </c>
      <c r="C227" s="28" t="s">
        <v>247</v>
      </c>
      <c r="D227" s="28">
        <v>5</v>
      </c>
      <c r="E227" s="28">
        <v>70</v>
      </c>
      <c r="F227" s="28">
        <v>3232.9</v>
      </c>
      <c r="G227" s="29">
        <v>0</v>
      </c>
      <c r="H227" s="28">
        <v>3232.9</v>
      </c>
      <c r="I227" s="28"/>
      <c r="J227" s="28">
        <v>2389.7</v>
      </c>
      <c r="K227" s="22">
        <v>7</v>
      </c>
      <c r="L227" s="10">
        <v>5.08</v>
      </c>
      <c r="M227" s="16">
        <f t="shared" si="30"/>
        <v>16423.132</v>
      </c>
      <c r="N227" s="16">
        <f t="shared" si="36"/>
        <v>197077.58400000003</v>
      </c>
      <c r="O227" s="17">
        <f t="shared" si="31"/>
        <v>187913.47634400002</v>
      </c>
      <c r="P227" s="77">
        <v>0</v>
      </c>
      <c r="Q227" s="18">
        <v>0</v>
      </c>
      <c r="R227" s="184">
        <v>9.952</v>
      </c>
      <c r="S227" s="18">
        <v>0</v>
      </c>
      <c r="T227" s="18">
        <v>0</v>
      </c>
      <c r="U227" s="18">
        <v>0</v>
      </c>
      <c r="V227" s="104">
        <v>3.451</v>
      </c>
      <c r="W227" s="18">
        <v>0</v>
      </c>
      <c r="X227" s="278">
        <v>52.48</v>
      </c>
      <c r="Y227" s="107">
        <v>1.944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91">
        <f t="shared" si="32"/>
        <v>67.827</v>
      </c>
      <c r="AK227" s="5">
        <f>4963963*F227/653667.1</f>
        <v>24550.716997535903</v>
      </c>
      <c r="AL227" s="5">
        <f>3362538*F227/653567.1</f>
        <v>16632.950312523382</v>
      </c>
      <c r="AM227" s="5">
        <f>218982*F227/653567.1</f>
        <v>1083.2046285683598</v>
      </c>
    </row>
    <row r="228" spans="1:36" s="93" customFormat="1" ht="15.75">
      <c r="A228" s="82">
        <v>223</v>
      </c>
      <c r="B228" s="94" t="s">
        <v>273</v>
      </c>
      <c r="C228" s="95">
        <v>1961</v>
      </c>
      <c r="D228" s="95">
        <v>2</v>
      </c>
      <c r="E228" s="95">
        <v>16</v>
      </c>
      <c r="F228" s="95">
        <v>584.3</v>
      </c>
      <c r="G228" s="85"/>
      <c r="H228" s="95">
        <f>584.3-I228</f>
        <v>286.19999999999993</v>
      </c>
      <c r="I228" s="95">
        <f>105.8+192.3</f>
        <v>298.1</v>
      </c>
      <c r="J228" s="95"/>
      <c r="K228" s="87">
        <v>2</v>
      </c>
      <c r="L228" s="87">
        <v>5.08</v>
      </c>
      <c r="M228" s="88">
        <f t="shared" si="30"/>
        <v>1453.8959999999997</v>
      </c>
      <c r="N228" s="88">
        <f t="shared" si="36"/>
        <v>17446.751999999997</v>
      </c>
      <c r="O228" s="89">
        <f t="shared" si="31"/>
        <v>16635.478031999995</v>
      </c>
      <c r="P228" s="90">
        <v>0</v>
      </c>
      <c r="Q228" s="91">
        <v>0</v>
      </c>
      <c r="R228" s="91">
        <v>0</v>
      </c>
      <c r="S228" s="91">
        <v>0</v>
      </c>
      <c r="T228" s="91">
        <v>0</v>
      </c>
      <c r="U228" s="91">
        <v>0</v>
      </c>
      <c r="V228" s="91">
        <v>0</v>
      </c>
      <c r="W228" s="91">
        <v>0</v>
      </c>
      <c r="X228" s="91">
        <v>0</v>
      </c>
      <c r="Y228" s="91">
        <v>0</v>
      </c>
      <c r="Z228" s="91">
        <v>0</v>
      </c>
      <c r="AA228" s="91">
        <v>0</v>
      </c>
      <c r="AB228" s="91">
        <v>0</v>
      </c>
      <c r="AC228" s="91">
        <v>0</v>
      </c>
      <c r="AD228" s="91">
        <v>0</v>
      </c>
      <c r="AE228" s="91">
        <v>0</v>
      </c>
      <c r="AF228" s="91">
        <v>0</v>
      </c>
      <c r="AG228" s="91">
        <v>0</v>
      </c>
      <c r="AH228" s="91">
        <v>0</v>
      </c>
      <c r="AI228" s="91">
        <v>0</v>
      </c>
      <c r="AJ228" s="92">
        <f t="shared" si="32"/>
        <v>0</v>
      </c>
    </row>
    <row r="229" spans="1:39" ht="15.75" customHeight="1">
      <c r="A229" s="12">
        <v>224</v>
      </c>
      <c r="B229" s="27" t="s">
        <v>274</v>
      </c>
      <c r="C229" s="28" t="s">
        <v>76</v>
      </c>
      <c r="D229" s="28">
        <v>2</v>
      </c>
      <c r="E229" s="28">
        <v>16</v>
      </c>
      <c r="F229" s="28">
        <v>676.3</v>
      </c>
      <c r="G229" s="29">
        <v>0</v>
      </c>
      <c r="H229" s="28">
        <v>676.3</v>
      </c>
      <c r="I229" s="28"/>
      <c r="J229" s="28">
        <v>453.1</v>
      </c>
      <c r="K229" s="23">
        <v>2</v>
      </c>
      <c r="L229" s="10">
        <v>5.08</v>
      </c>
      <c r="M229" s="16">
        <f t="shared" si="30"/>
        <v>3435.604</v>
      </c>
      <c r="N229" s="16">
        <f t="shared" si="36"/>
        <v>41227.248</v>
      </c>
      <c r="O229" s="17">
        <f t="shared" si="31"/>
        <v>39310.180968</v>
      </c>
      <c r="P229" s="103">
        <v>17.078</v>
      </c>
      <c r="Q229" s="142">
        <v>10.176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278">
        <v>3.181</v>
      </c>
      <c r="Y229" s="18">
        <v>0</v>
      </c>
      <c r="Z229" s="18">
        <v>0</v>
      </c>
      <c r="AA229" s="110">
        <v>1.158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91">
        <f t="shared" si="32"/>
        <v>31.593</v>
      </c>
      <c r="AK229" s="5">
        <f>4963963*F229/653667.1</f>
        <v>5135.837763442583</v>
      </c>
      <c r="AL229" s="5">
        <f>3362538*F229/653567.1</f>
        <v>3479.4965190261255</v>
      </c>
      <c r="AM229" s="5">
        <f>218982*F229/653567.1</f>
        <v>226.5988092117856</v>
      </c>
    </row>
    <row r="230" spans="1:39" ht="15.75">
      <c r="A230" s="12">
        <v>225</v>
      </c>
      <c r="B230" s="27" t="s">
        <v>275</v>
      </c>
      <c r="C230" s="28" t="s">
        <v>276</v>
      </c>
      <c r="D230" s="28">
        <v>2</v>
      </c>
      <c r="E230" s="28">
        <v>16</v>
      </c>
      <c r="F230" s="28">
        <v>562.3</v>
      </c>
      <c r="G230" s="29">
        <v>0</v>
      </c>
      <c r="H230" s="28">
        <v>562.3</v>
      </c>
      <c r="I230" s="28"/>
      <c r="J230" s="28">
        <v>382.8</v>
      </c>
      <c r="K230" s="23">
        <v>2</v>
      </c>
      <c r="L230" s="10">
        <v>5.08</v>
      </c>
      <c r="M230" s="16">
        <f t="shared" si="30"/>
        <v>2856.484</v>
      </c>
      <c r="N230" s="16">
        <f>M230*$N$1</f>
        <v>34277.808</v>
      </c>
      <c r="O230" s="17">
        <f t="shared" si="31"/>
        <v>32683.889927999997</v>
      </c>
      <c r="P230" s="103">
        <v>1.486</v>
      </c>
      <c r="Q230" s="142">
        <v>30.466</v>
      </c>
      <c r="R230" s="18">
        <v>0</v>
      </c>
      <c r="S230" s="18">
        <v>0</v>
      </c>
      <c r="T230" s="18">
        <v>0</v>
      </c>
      <c r="U230" s="96">
        <f>1.268</f>
        <v>1.268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91">
        <f t="shared" si="32"/>
        <v>33.22</v>
      </c>
      <c r="AK230" s="5">
        <f>4963963*F230/653667.1</f>
        <v>4270.119140002609</v>
      </c>
      <c r="AL230" s="5">
        <f>3362538*F230/653567.1</f>
        <v>2892.977809623526</v>
      </c>
      <c r="AM230" s="5">
        <f>218982*F230/653567.1</f>
        <v>188.40235164836173</v>
      </c>
    </row>
    <row r="231" spans="1:39" ht="16.5" customHeight="1">
      <c r="A231" s="12">
        <v>226</v>
      </c>
      <c r="B231" s="27" t="s">
        <v>277</v>
      </c>
      <c r="C231" s="28" t="s">
        <v>278</v>
      </c>
      <c r="D231" s="28">
        <v>5</v>
      </c>
      <c r="E231" s="28">
        <v>67</v>
      </c>
      <c r="F231" s="28">
        <v>3433.5</v>
      </c>
      <c r="G231" s="29">
        <v>110.4</v>
      </c>
      <c r="H231" s="28">
        <v>3323.1</v>
      </c>
      <c r="I231" s="28"/>
      <c r="J231" s="28">
        <v>2228.3</v>
      </c>
      <c r="K231" s="23">
        <v>4</v>
      </c>
      <c r="L231" s="10">
        <v>5.08</v>
      </c>
      <c r="M231" s="16">
        <f t="shared" si="30"/>
        <v>16881.347999999998</v>
      </c>
      <c r="N231" s="16">
        <f t="shared" si="36"/>
        <v>202576.17599999998</v>
      </c>
      <c r="O231" s="17">
        <f t="shared" si="31"/>
        <v>193156.383816</v>
      </c>
      <c r="P231" s="103">
        <f>31.994+5.398+5.093</f>
        <v>42.485</v>
      </c>
      <c r="Q231" s="142">
        <v>10.176</v>
      </c>
      <c r="R231" s="18">
        <v>0</v>
      </c>
      <c r="S231" s="18">
        <v>0</v>
      </c>
      <c r="T231" s="18">
        <v>0</v>
      </c>
      <c r="U231" s="96">
        <f>18.842</f>
        <v>18.842</v>
      </c>
      <c r="V231" s="18">
        <v>0</v>
      </c>
      <c r="W231" s="18">
        <v>0</v>
      </c>
      <c r="X231" s="18">
        <v>0</v>
      </c>
      <c r="Y231" s="107">
        <v>1.616</v>
      </c>
      <c r="Z231" s="18">
        <v>0</v>
      </c>
      <c r="AA231" s="110">
        <v>0.216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91">
        <f t="shared" si="32"/>
        <v>73.335</v>
      </c>
      <c r="AK231" s="5">
        <f>4963963*F231/653667.1</f>
        <v>26074.078013869752</v>
      </c>
      <c r="AL231" s="5">
        <f>3362538*F231/653567.1</f>
        <v>17665.017445033573</v>
      </c>
      <c r="AM231" s="5">
        <f>218982*F231/653567.1</f>
        <v>1150.416991614174</v>
      </c>
    </row>
    <row r="232" spans="1:36" s="301" customFormat="1" ht="15.75" customHeight="1">
      <c r="A232" s="295">
        <v>227</v>
      </c>
      <c r="B232" s="304" t="s">
        <v>279</v>
      </c>
      <c r="C232" s="305">
        <v>1957</v>
      </c>
      <c r="D232" s="305">
        <v>1</v>
      </c>
      <c r="E232" s="305">
        <v>3</v>
      </c>
      <c r="F232" s="305">
        <v>110.7</v>
      </c>
      <c r="G232" s="307"/>
      <c r="H232" s="305">
        <v>110.7</v>
      </c>
      <c r="I232" s="305"/>
      <c r="J232" s="305"/>
      <c r="K232" s="190"/>
      <c r="L232" s="190">
        <v>5.08</v>
      </c>
      <c r="M232" s="297">
        <f t="shared" si="30"/>
        <v>562.356</v>
      </c>
      <c r="N232" s="297">
        <f t="shared" si="36"/>
        <v>6748.272</v>
      </c>
      <c r="O232" s="298">
        <f t="shared" si="31"/>
        <v>6434.477352</v>
      </c>
      <c r="P232" s="102">
        <v>0</v>
      </c>
      <c r="Q232" s="101">
        <v>0</v>
      </c>
      <c r="R232" s="101">
        <v>0</v>
      </c>
      <c r="S232" s="101">
        <v>0</v>
      </c>
      <c r="T232" s="101">
        <v>0</v>
      </c>
      <c r="U232" s="101">
        <v>0</v>
      </c>
      <c r="V232" s="101">
        <v>0</v>
      </c>
      <c r="W232" s="101">
        <v>0</v>
      </c>
      <c r="X232" s="101">
        <v>0</v>
      </c>
      <c r="Y232" s="101">
        <v>0</v>
      </c>
      <c r="Z232" s="101">
        <v>0</v>
      </c>
      <c r="AA232" s="101">
        <v>0</v>
      </c>
      <c r="AB232" s="101">
        <v>0</v>
      </c>
      <c r="AC232" s="101">
        <v>0</v>
      </c>
      <c r="AD232" s="101">
        <v>0</v>
      </c>
      <c r="AE232" s="101">
        <v>0</v>
      </c>
      <c r="AF232" s="101">
        <v>0</v>
      </c>
      <c r="AG232" s="101">
        <v>0</v>
      </c>
      <c r="AH232" s="101">
        <v>0</v>
      </c>
      <c r="AI232" s="101">
        <v>0</v>
      </c>
      <c r="AJ232" s="302">
        <f t="shared" si="32"/>
        <v>0</v>
      </c>
    </row>
    <row r="233" spans="1:36" s="301" customFormat="1" ht="15.75">
      <c r="A233" s="295">
        <v>228</v>
      </c>
      <c r="B233" s="296" t="s">
        <v>280</v>
      </c>
      <c r="C233" s="306">
        <v>1968</v>
      </c>
      <c r="D233" s="306">
        <v>1</v>
      </c>
      <c r="E233" s="306">
        <v>2</v>
      </c>
      <c r="F233" s="306">
        <v>95.1</v>
      </c>
      <c r="G233" s="307">
        <v>0</v>
      </c>
      <c r="H233" s="306">
        <v>95.1</v>
      </c>
      <c r="I233" s="306"/>
      <c r="J233" s="306">
        <v>69.6</v>
      </c>
      <c r="K233" s="190">
        <v>1</v>
      </c>
      <c r="L233" s="190">
        <v>5.08</v>
      </c>
      <c r="M233" s="297">
        <f t="shared" si="30"/>
        <v>483.108</v>
      </c>
      <c r="N233" s="297">
        <f t="shared" si="36"/>
        <v>5797.296</v>
      </c>
      <c r="O233" s="298">
        <f t="shared" si="31"/>
        <v>5527.721736</v>
      </c>
      <c r="P233" s="102">
        <v>0</v>
      </c>
      <c r="Q233" s="101">
        <v>0</v>
      </c>
      <c r="R233" s="101">
        <v>0</v>
      </c>
      <c r="S233" s="101">
        <v>0</v>
      </c>
      <c r="T233" s="101">
        <v>0</v>
      </c>
      <c r="U233" s="101">
        <v>0</v>
      </c>
      <c r="V233" s="101">
        <v>0</v>
      </c>
      <c r="W233" s="101">
        <v>0</v>
      </c>
      <c r="X233" s="101">
        <v>0</v>
      </c>
      <c r="Y233" s="101">
        <v>0</v>
      </c>
      <c r="Z233" s="101">
        <v>0</v>
      </c>
      <c r="AA233" s="101">
        <v>0</v>
      </c>
      <c r="AB233" s="101">
        <v>0</v>
      </c>
      <c r="AC233" s="101">
        <v>0</v>
      </c>
      <c r="AD233" s="101">
        <v>0</v>
      </c>
      <c r="AE233" s="101">
        <v>0</v>
      </c>
      <c r="AF233" s="101">
        <v>0</v>
      </c>
      <c r="AG233" s="101">
        <v>0</v>
      </c>
      <c r="AH233" s="101">
        <v>0</v>
      </c>
      <c r="AI233" s="101">
        <v>0</v>
      </c>
      <c r="AJ233" s="302">
        <f t="shared" si="32"/>
        <v>0</v>
      </c>
    </row>
    <row r="234" spans="1:36" s="65" customFormat="1" ht="21.75" customHeight="1">
      <c r="A234" s="56">
        <v>229</v>
      </c>
      <c r="B234" s="57" t="s">
        <v>281</v>
      </c>
      <c r="C234" s="58">
        <v>1917</v>
      </c>
      <c r="D234" s="58">
        <v>1</v>
      </c>
      <c r="E234" s="58">
        <v>2</v>
      </c>
      <c r="F234" s="58">
        <v>61.4</v>
      </c>
      <c r="G234" s="58"/>
      <c r="H234" s="58">
        <f>61.4*0</f>
        <v>0</v>
      </c>
      <c r="I234" s="58"/>
      <c r="J234" s="58"/>
      <c r="K234" s="60">
        <v>1</v>
      </c>
      <c r="L234" s="60" t="s">
        <v>336</v>
      </c>
      <c r="M234" s="61">
        <v>0</v>
      </c>
      <c r="N234" s="61">
        <v>0</v>
      </c>
      <c r="O234" s="62">
        <f t="shared" si="31"/>
        <v>0</v>
      </c>
      <c r="P234" s="78">
        <v>0</v>
      </c>
      <c r="Q234" s="63">
        <v>0</v>
      </c>
      <c r="R234" s="63">
        <v>0</v>
      </c>
      <c r="S234" s="63">
        <v>0</v>
      </c>
      <c r="T234" s="63">
        <v>0</v>
      </c>
      <c r="U234" s="63">
        <v>0</v>
      </c>
      <c r="V234" s="63">
        <v>0</v>
      </c>
      <c r="W234" s="63">
        <v>0</v>
      </c>
      <c r="X234" s="63">
        <v>0</v>
      </c>
      <c r="Y234" s="63">
        <v>0</v>
      </c>
      <c r="Z234" s="63">
        <v>0</v>
      </c>
      <c r="AA234" s="63">
        <v>0</v>
      </c>
      <c r="AB234" s="63">
        <v>0</v>
      </c>
      <c r="AC234" s="63">
        <v>0</v>
      </c>
      <c r="AD234" s="63">
        <v>0</v>
      </c>
      <c r="AE234" s="63">
        <v>0</v>
      </c>
      <c r="AF234" s="63">
        <v>0</v>
      </c>
      <c r="AG234" s="63">
        <v>0</v>
      </c>
      <c r="AH234" s="63">
        <v>0</v>
      </c>
      <c r="AI234" s="63">
        <v>0</v>
      </c>
      <c r="AJ234" s="64">
        <f t="shared" si="32"/>
        <v>0</v>
      </c>
    </row>
    <row r="235" spans="1:39" ht="15.75">
      <c r="A235" s="12">
        <v>230</v>
      </c>
      <c r="B235" s="27" t="s">
        <v>282</v>
      </c>
      <c r="C235" s="28" t="s">
        <v>30</v>
      </c>
      <c r="D235" s="28">
        <v>4</v>
      </c>
      <c r="E235" s="28">
        <v>12</v>
      </c>
      <c r="F235" s="28">
        <v>773.9</v>
      </c>
      <c r="G235" s="29">
        <v>264.7</v>
      </c>
      <c r="H235" s="28">
        <v>509.2</v>
      </c>
      <c r="I235" s="28"/>
      <c r="J235" s="28">
        <v>307.4</v>
      </c>
      <c r="K235" s="23">
        <v>1</v>
      </c>
      <c r="L235" s="10">
        <v>5.08</v>
      </c>
      <c r="M235" s="16">
        <f t="shared" si="30"/>
        <v>2586.736</v>
      </c>
      <c r="N235" s="16">
        <f>M235*$N$1</f>
        <v>31040.832</v>
      </c>
      <c r="O235" s="17">
        <f t="shared" si="31"/>
        <v>29597.433311999997</v>
      </c>
      <c r="P235" s="77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04">
        <v>3.081</v>
      </c>
      <c r="W235" s="18">
        <v>0</v>
      </c>
      <c r="X235" s="278">
        <v>21.867</v>
      </c>
      <c r="Y235" s="107">
        <v>0.653</v>
      </c>
      <c r="Z235" s="18">
        <v>0</v>
      </c>
      <c r="AA235" s="18">
        <v>0</v>
      </c>
      <c r="AB235" s="185">
        <v>5.33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91">
        <f t="shared" si="32"/>
        <v>30.930999999999997</v>
      </c>
      <c r="AK235" s="5">
        <f aca="true" t="shared" si="37" ref="AK235:AK244">4963963*F235/653667.1</f>
        <v>5877.014409475404</v>
      </c>
      <c r="AL235" s="5">
        <f aca="true" t="shared" si="38" ref="AL235:AL244">3362538*F235/653567.1</f>
        <v>3981.638852690106</v>
      </c>
      <c r="AM235" s="5">
        <f aca="true" t="shared" si="39" ref="AM235:AM244">218982*F235/653567.1</f>
        <v>259.3003377924011</v>
      </c>
    </row>
    <row r="236" spans="1:39" ht="15.75">
      <c r="A236" s="12">
        <v>231</v>
      </c>
      <c r="B236" s="22" t="s">
        <v>283</v>
      </c>
      <c r="C236" s="31">
        <v>1952</v>
      </c>
      <c r="D236" s="31">
        <v>2</v>
      </c>
      <c r="E236" s="31">
        <v>8</v>
      </c>
      <c r="F236" s="31">
        <v>538.9</v>
      </c>
      <c r="G236" s="29"/>
      <c r="H236" s="31">
        <v>538.9</v>
      </c>
      <c r="I236" s="31"/>
      <c r="J236" s="31"/>
      <c r="K236" s="23">
        <v>1</v>
      </c>
      <c r="L236" s="10">
        <v>5.08</v>
      </c>
      <c r="M236" s="16">
        <f t="shared" si="30"/>
        <v>2737.612</v>
      </c>
      <c r="N236" s="16">
        <f aca="true" t="shared" si="40" ref="N236:N244">L236*H236*12</f>
        <v>32851.344</v>
      </c>
      <c r="O236" s="17">
        <f t="shared" si="31"/>
        <v>31323.756503999997</v>
      </c>
      <c r="P236" s="103">
        <f>6.188+0.892</f>
        <v>7.08</v>
      </c>
      <c r="Q236" s="142">
        <v>10.176</v>
      </c>
      <c r="R236" s="18">
        <v>0</v>
      </c>
      <c r="S236" s="18">
        <v>0</v>
      </c>
      <c r="T236" s="18">
        <v>0</v>
      </c>
      <c r="U236" s="18">
        <v>0</v>
      </c>
      <c r="V236" s="104">
        <v>6.136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5">
        <v>3.987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91">
        <f t="shared" si="32"/>
        <v>27.378999999999998</v>
      </c>
      <c r="AK236" s="5">
        <f t="shared" si="37"/>
        <v>4092.4190015070362</v>
      </c>
      <c r="AL236" s="5">
        <f t="shared" si="38"/>
        <v>2772.5871271672027</v>
      </c>
      <c r="AM236" s="5">
        <f t="shared" si="39"/>
        <v>180.56202614850105</v>
      </c>
    </row>
    <row r="237" spans="1:39" ht="15.75">
      <c r="A237" s="12">
        <v>232</v>
      </c>
      <c r="B237" s="27" t="s">
        <v>284</v>
      </c>
      <c r="C237" s="28">
        <v>1962</v>
      </c>
      <c r="D237" s="28">
        <v>5</v>
      </c>
      <c r="E237" s="28">
        <v>60</v>
      </c>
      <c r="F237" s="28">
        <v>2561.4</v>
      </c>
      <c r="G237" s="29">
        <v>0</v>
      </c>
      <c r="H237" s="28">
        <v>2561.4</v>
      </c>
      <c r="I237" s="28"/>
      <c r="J237" s="28">
        <v>1637.8</v>
      </c>
      <c r="K237" s="23">
        <v>3</v>
      </c>
      <c r="L237" s="10">
        <v>5.08</v>
      </c>
      <c r="M237" s="16">
        <f t="shared" si="30"/>
        <v>13011.912</v>
      </c>
      <c r="N237" s="16">
        <f t="shared" si="40"/>
        <v>156142.94400000002</v>
      </c>
      <c r="O237" s="17">
        <f t="shared" si="31"/>
        <v>148882.29710400003</v>
      </c>
      <c r="P237" s="103">
        <v>18.71</v>
      </c>
      <c r="Q237" s="142">
        <v>4.307</v>
      </c>
      <c r="R237" s="18">
        <v>0</v>
      </c>
      <c r="S237" s="97">
        <f>0.538</f>
        <v>0.538</v>
      </c>
      <c r="T237" s="18">
        <v>0</v>
      </c>
      <c r="U237" s="96">
        <f>1.077</f>
        <v>1.077</v>
      </c>
      <c r="V237" s="104">
        <v>2.553</v>
      </c>
      <c r="W237" s="18">
        <v>0</v>
      </c>
      <c r="X237" s="278">
        <v>26.24</v>
      </c>
      <c r="Y237" s="107">
        <v>1.218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91">
        <f t="shared" si="32"/>
        <v>54.643</v>
      </c>
      <c r="AK237" s="5">
        <f t="shared" si="37"/>
        <v>19451.330544553948</v>
      </c>
      <c r="AL237" s="5">
        <f t="shared" si="38"/>
        <v>13178.149318103682</v>
      </c>
      <c r="AM237" s="5">
        <f t="shared" si="39"/>
        <v>858.2140912539816</v>
      </c>
    </row>
    <row r="238" spans="1:39" ht="15.75">
      <c r="A238" s="12">
        <v>233</v>
      </c>
      <c r="B238" s="27" t="s">
        <v>285</v>
      </c>
      <c r="C238" s="28">
        <v>1959</v>
      </c>
      <c r="D238" s="28">
        <v>5</v>
      </c>
      <c r="E238" s="28">
        <v>60</v>
      </c>
      <c r="F238" s="28">
        <v>2543.2</v>
      </c>
      <c r="G238" s="29">
        <v>0</v>
      </c>
      <c r="H238" s="28">
        <v>2543.2</v>
      </c>
      <c r="I238" s="28"/>
      <c r="J238" s="28">
        <v>1586.8</v>
      </c>
      <c r="K238" s="23">
        <v>3</v>
      </c>
      <c r="L238" s="10">
        <v>5.08</v>
      </c>
      <c r="M238" s="16">
        <f t="shared" si="30"/>
        <v>12919.456</v>
      </c>
      <c r="N238" s="16">
        <f t="shared" si="40"/>
        <v>155033.472</v>
      </c>
      <c r="O238" s="17">
        <f t="shared" si="31"/>
        <v>147824.41555200002</v>
      </c>
      <c r="P238" s="103">
        <v>58.088</v>
      </c>
      <c r="Q238" s="18">
        <v>0</v>
      </c>
      <c r="R238" s="18">
        <v>0</v>
      </c>
      <c r="S238" s="97">
        <f>1.256</f>
        <v>1.256</v>
      </c>
      <c r="T238" s="99">
        <f>297.091</f>
        <v>297.091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06">
        <v>0.086</v>
      </c>
      <c r="AA238" s="110">
        <v>3.497</v>
      </c>
      <c r="AB238" s="18">
        <v>0</v>
      </c>
      <c r="AC238" s="187">
        <v>11.667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91">
        <f t="shared" si="32"/>
        <v>371.685</v>
      </c>
      <c r="AK238" s="5">
        <f t="shared" si="37"/>
        <v>19313.119325724056</v>
      </c>
      <c r="AL238" s="5">
        <f t="shared" si="38"/>
        <v>13084.512120637652</v>
      </c>
      <c r="AM238" s="5">
        <f t="shared" si="39"/>
        <v>852.1160603096454</v>
      </c>
    </row>
    <row r="239" spans="1:39" ht="15.75">
      <c r="A239" s="12">
        <v>234</v>
      </c>
      <c r="B239" s="27" t="s">
        <v>286</v>
      </c>
      <c r="C239" s="28">
        <v>1952</v>
      </c>
      <c r="D239" s="28">
        <v>2</v>
      </c>
      <c r="E239" s="28">
        <v>8</v>
      </c>
      <c r="F239" s="28">
        <v>529.2</v>
      </c>
      <c r="G239" s="29">
        <v>0</v>
      </c>
      <c r="H239" s="28">
        <v>529.2</v>
      </c>
      <c r="I239" s="28"/>
      <c r="J239" s="28">
        <v>336.8</v>
      </c>
      <c r="K239" s="23">
        <v>1</v>
      </c>
      <c r="L239" s="10">
        <v>5.08</v>
      </c>
      <c r="M239" s="16">
        <f t="shared" si="30"/>
        <v>2688.3360000000002</v>
      </c>
      <c r="N239" s="16">
        <f t="shared" si="40"/>
        <v>32260.032000000003</v>
      </c>
      <c r="O239" s="17">
        <f t="shared" si="31"/>
        <v>30759.940512000005</v>
      </c>
      <c r="P239" s="103">
        <v>4.458</v>
      </c>
      <c r="Q239" s="142">
        <v>2.806</v>
      </c>
      <c r="R239" s="18">
        <v>0</v>
      </c>
      <c r="S239" s="97">
        <f>0.628</f>
        <v>0.628</v>
      </c>
      <c r="T239" s="100">
        <v>2.5</v>
      </c>
      <c r="U239" s="96">
        <f>7.291</f>
        <v>7.291</v>
      </c>
      <c r="V239" s="104">
        <v>3.081</v>
      </c>
      <c r="W239" s="18">
        <v>0</v>
      </c>
      <c r="X239" s="18">
        <v>0</v>
      </c>
      <c r="Y239" s="18">
        <v>0</v>
      </c>
      <c r="Z239" s="106">
        <v>0.086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91">
        <f t="shared" si="32"/>
        <v>20.849999999999998</v>
      </c>
      <c r="AK239" s="5">
        <f t="shared" si="37"/>
        <v>4018.756978284513</v>
      </c>
      <c r="AL239" s="5">
        <f t="shared" si="38"/>
        <v>2722.6815878583857</v>
      </c>
      <c r="AM239" s="5">
        <f t="shared" si="39"/>
        <v>177.3119766891571</v>
      </c>
    </row>
    <row r="240" spans="1:39" ht="15.75">
      <c r="A240" s="12">
        <v>235</v>
      </c>
      <c r="B240" s="27" t="s">
        <v>287</v>
      </c>
      <c r="C240" s="28">
        <v>1963</v>
      </c>
      <c r="D240" s="28">
        <v>5</v>
      </c>
      <c r="E240" s="28">
        <v>56</v>
      </c>
      <c r="F240" s="28">
        <f>2534.3</f>
        <v>2534.3</v>
      </c>
      <c r="G240" s="29">
        <f>F240-H240</f>
        <v>143.80000000000018</v>
      </c>
      <c r="H240" s="28">
        <f>2390.5</f>
        <v>2390.5</v>
      </c>
      <c r="I240" s="28"/>
      <c r="J240" s="30">
        <v>2391.3</v>
      </c>
      <c r="K240" s="23">
        <v>3</v>
      </c>
      <c r="L240" s="10">
        <v>5.08</v>
      </c>
      <c r="M240" s="16">
        <f t="shared" si="30"/>
        <v>12143.74</v>
      </c>
      <c r="N240" s="16">
        <f>M240*$N$1</f>
        <v>145724.88</v>
      </c>
      <c r="O240" s="17">
        <f t="shared" si="31"/>
        <v>138948.67308</v>
      </c>
      <c r="P240" s="103">
        <v>29.168</v>
      </c>
      <c r="Q240" s="142">
        <v>2.806</v>
      </c>
      <c r="R240" s="18">
        <v>0</v>
      </c>
      <c r="S240" s="97">
        <v>0.896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07">
        <v>1.218</v>
      </c>
      <c r="Z240" s="18">
        <v>0</v>
      </c>
      <c r="AA240" s="110">
        <v>2.379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91">
        <f t="shared" si="32"/>
        <v>36.46699999999999</v>
      </c>
      <c r="AK240" s="5">
        <f t="shared" si="37"/>
        <v>19245.53252091164</v>
      </c>
      <c r="AL240" s="5">
        <f t="shared" si="38"/>
        <v>13038.722502096572</v>
      </c>
      <c r="AM240" s="5">
        <f t="shared" si="39"/>
        <v>849.134056166536</v>
      </c>
    </row>
    <row r="241" spans="1:39" ht="15.75">
      <c r="A241" s="12">
        <v>236</v>
      </c>
      <c r="B241" s="27" t="s">
        <v>288</v>
      </c>
      <c r="C241" s="28">
        <v>1939</v>
      </c>
      <c r="D241" s="28">
        <v>4</v>
      </c>
      <c r="E241" s="28">
        <v>33</v>
      </c>
      <c r="F241" s="28">
        <v>2271.4</v>
      </c>
      <c r="G241" s="29">
        <v>0</v>
      </c>
      <c r="H241" s="28">
        <v>2271.4</v>
      </c>
      <c r="I241" s="28"/>
      <c r="J241" s="28">
        <v>1339.9</v>
      </c>
      <c r="K241" s="23">
        <v>3</v>
      </c>
      <c r="L241" s="10">
        <v>5.08</v>
      </c>
      <c r="M241" s="16">
        <f t="shared" si="30"/>
        <v>11538.712000000001</v>
      </c>
      <c r="N241" s="16">
        <f t="shared" si="40"/>
        <v>138464.54400000002</v>
      </c>
      <c r="O241" s="17">
        <f t="shared" si="31"/>
        <v>132025.94270400002</v>
      </c>
      <c r="P241" s="103">
        <f>9.371+24.18</f>
        <v>33.551</v>
      </c>
      <c r="Q241" s="18">
        <v>0</v>
      </c>
      <c r="R241" s="18">
        <v>0</v>
      </c>
      <c r="S241" s="97">
        <v>9.525</v>
      </c>
      <c r="T241" s="18">
        <v>0</v>
      </c>
      <c r="U241" s="96">
        <f>16.671</f>
        <v>16.671</v>
      </c>
      <c r="V241" s="18">
        <v>0</v>
      </c>
      <c r="W241" s="18">
        <v>0</v>
      </c>
      <c r="X241" s="279">
        <v>14.2</v>
      </c>
      <c r="Y241" s="107">
        <v>1.944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91">
        <f t="shared" si="32"/>
        <v>75.891</v>
      </c>
      <c r="AK241" s="5">
        <f t="shared" si="37"/>
        <v>17249.06387089086</v>
      </c>
      <c r="AL241" s="5">
        <f t="shared" si="38"/>
        <v>11686.128039798823</v>
      </c>
      <c r="AM241" s="5">
        <f t="shared" si="39"/>
        <v>761.0476641189558</v>
      </c>
    </row>
    <row r="242" spans="1:39" ht="15.75">
      <c r="A242" s="12">
        <v>237</v>
      </c>
      <c r="B242" s="27" t="s">
        <v>289</v>
      </c>
      <c r="C242" s="28">
        <v>1939</v>
      </c>
      <c r="D242" s="28">
        <v>4</v>
      </c>
      <c r="E242" s="28">
        <v>32</v>
      </c>
      <c r="F242" s="28">
        <v>2891.4</v>
      </c>
      <c r="G242" s="29">
        <v>0</v>
      </c>
      <c r="H242" s="28">
        <v>2891.4</v>
      </c>
      <c r="I242" s="28"/>
      <c r="J242" s="28">
        <v>2119.2</v>
      </c>
      <c r="K242" s="23">
        <v>4</v>
      </c>
      <c r="L242" s="10">
        <v>5.08</v>
      </c>
      <c r="M242" s="16">
        <f t="shared" si="30"/>
        <v>14688.312</v>
      </c>
      <c r="N242" s="16">
        <f t="shared" si="40"/>
        <v>176259.744</v>
      </c>
      <c r="O242" s="17">
        <f t="shared" si="31"/>
        <v>168063.665904</v>
      </c>
      <c r="P242" s="77">
        <v>0</v>
      </c>
      <c r="Q242" s="18">
        <v>0</v>
      </c>
      <c r="R242" s="18">
        <v>0</v>
      </c>
      <c r="S242" s="18">
        <v>0</v>
      </c>
      <c r="T242" s="100">
        <v>1.889</v>
      </c>
      <c r="U242" s="96">
        <f>8.178+39.9413</f>
        <v>48.119299999999996</v>
      </c>
      <c r="V242" s="104">
        <f>1.63+3.081</f>
        <v>4.711</v>
      </c>
      <c r="W242" s="18">
        <v>0</v>
      </c>
      <c r="X242" s="279">
        <v>57.32</v>
      </c>
      <c r="Y242" s="107">
        <v>18.568</v>
      </c>
      <c r="Z242" s="18">
        <v>0</v>
      </c>
      <c r="AA242" s="110">
        <v>7.588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91">
        <f t="shared" si="32"/>
        <v>138.1953</v>
      </c>
      <c r="AK242" s="5">
        <f t="shared" si="37"/>
        <v>21957.358138722295</v>
      </c>
      <c r="AL242" s="5">
        <f t="shared" si="38"/>
        <v>14875.966634795419</v>
      </c>
      <c r="AM242" s="5">
        <f t="shared" si="39"/>
        <v>968.7827842007348</v>
      </c>
    </row>
    <row r="243" spans="1:39" ht="15.75">
      <c r="A243" s="12">
        <v>238</v>
      </c>
      <c r="B243" s="27" t="s">
        <v>290</v>
      </c>
      <c r="C243" s="28">
        <v>1962</v>
      </c>
      <c r="D243" s="28">
        <v>4</v>
      </c>
      <c r="E243" s="28">
        <v>48</v>
      </c>
      <c r="F243" s="28">
        <v>2037.3</v>
      </c>
      <c r="G243" s="29">
        <v>0</v>
      </c>
      <c r="H243" s="28">
        <v>2037.3</v>
      </c>
      <c r="I243" s="28"/>
      <c r="J243" s="28">
        <v>1315.94</v>
      </c>
      <c r="K243" s="23">
        <v>3</v>
      </c>
      <c r="L243" s="10">
        <v>5.08</v>
      </c>
      <c r="M243" s="16">
        <f t="shared" si="30"/>
        <v>10349.484</v>
      </c>
      <c r="N243" s="16">
        <f t="shared" si="40"/>
        <v>124193.808</v>
      </c>
      <c r="O243" s="17">
        <f t="shared" si="31"/>
        <v>118418.795928</v>
      </c>
      <c r="P243" s="77">
        <v>0</v>
      </c>
      <c r="Q243" s="142">
        <v>4.209</v>
      </c>
      <c r="R243" s="18">
        <v>0</v>
      </c>
      <c r="S243" s="18">
        <v>0</v>
      </c>
      <c r="T243" s="18">
        <v>0</v>
      </c>
      <c r="U243" s="96">
        <f>22.177+0.325</f>
        <v>22.502</v>
      </c>
      <c r="V243" s="18">
        <v>0</v>
      </c>
      <c r="W243" s="18">
        <v>0</v>
      </c>
      <c r="X243" s="18">
        <v>0</v>
      </c>
      <c r="Y243" s="107">
        <f>8.08+2.436</f>
        <v>10.516</v>
      </c>
      <c r="Z243" s="106">
        <v>13.399</v>
      </c>
      <c r="AA243" s="110">
        <v>11.431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91">
        <f t="shared" si="32"/>
        <v>62.056999999999995</v>
      </c>
      <c r="AK243" s="5">
        <f t="shared" si="37"/>
        <v>15471.303083633857</v>
      </c>
      <c r="AL243" s="5">
        <f t="shared" si="38"/>
        <v>10481.706725139622</v>
      </c>
      <c r="AM243" s="5">
        <f t="shared" si="39"/>
        <v>682.6109034558195</v>
      </c>
    </row>
    <row r="244" spans="1:39" ht="15.75">
      <c r="A244" s="12">
        <v>239</v>
      </c>
      <c r="B244" s="27" t="s">
        <v>291</v>
      </c>
      <c r="C244" s="28">
        <v>1963</v>
      </c>
      <c r="D244" s="28">
        <v>4</v>
      </c>
      <c r="E244" s="28">
        <v>48</v>
      </c>
      <c r="F244" s="28">
        <v>2037.5</v>
      </c>
      <c r="G244" s="29">
        <v>0</v>
      </c>
      <c r="H244" s="28">
        <v>2037.5</v>
      </c>
      <c r="I244" s="28"/>
      <c r="J244" s="28">
        <v>1341.23</v>
      </c>
      <c r="K244" s="23">
        <v>3</v>
      </c>
      <c r="L244" s="10">
        <v>5.08</v>
      </c>
      <c r="M244" s="16">
        <f t="shared" si="30"/>
        <v>10350.5</v>
      </c>
      <c r="N244" s="16">
        <f t="shared" si="40"/>
        <v>124206</v>
      </c>
      <c r="O244" s="17">
        <f t="shared" si="31"/>
        <v>118430.421</v>
      </c>
      <c r="P244" s="77">
        <v>0</v>
      </c>
      <c r="Q244" s="142">
        <v>4.209</v>
      </c>
      <c r="R244" s="18">
        <v>0</v>
      </c>
      <c r="S244" s="18">
        <v>0</v>
      </c>
      <c r="T244" s="99">
        <f>161.38</f>
        <v>161.38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10">
        <v>3.932</v>
      </c>
      <c r="AB244" s="18">
        <v>0</v>
      </c>
      <c r="AC244" s="187">
        <v>5.904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91">
        <f t="shared" si="32"/>
        <v>175.42499999999998</v>
      </c>
      <c r="AK244" s="5">
        <f t="shared" si="37"/>
        <v>15472.821888236384</v>
      </c>
      <c r="AL244" s="5">
        <f t="shared" si="38"/>
        <v>10482.735705331557</v>
      </c>
      <c r="AM244" s="5">
        <f t="shared" si="39"/>
        <v>682.6779147848782</v>
      </c>
    </row>
    <row r="245" spans="1:36" s="65" customFormat="1" ht="15.75">
      <c r="A245" s="56">
        <v>240</v>
      </c>
      <c r="B245" s="57" t="s">
        <v>292</v>
      </c>
      <c r="C245" s="58">
        <v>1950</v>
      </c>
      <c r="D245" s="58">
        <v>1</v>
      </c>
      <c r="E245" s="58">
        <v>2</v>
      </c>
      <c r="F245" s="58">
        <v>47.3</v>
      </c>
      <c r="G245" s="58"/>
      <c r="H245" s="58">
        <f>47.3*0</f>
        <v>0</v>
      </c>
      <c r="I245" s="58"/>
      <c r="J245" s="58"/>
      <c r="K245" s="60">
        <v>1</v>
      </c>
      <c r="L245" s="60" t="s">
        <v>336</v>
      </c>
      <c r="M245" s="61">
        <v>0</v>
      </c>
      <c r="N245" s="61">
        <v>0</v>
      </c>
      <c r="O245" s="62">
        <f t="shared" si="31"/>
        <v>0</v>
      </c>
      <c r="P245" s="78">
        <v>0</v>
      </c>
      <c r="Q245" s="63">
        <v>0</v>
      </c>
      <c r="R245" s="63">
        <v>0</v>
      </c>
      <c r="S245" s="63">
        <v>0</v>
      </c>
      <c r="T245" s="63">
        <v>0</v>
      </c>
      <c r="U245" s="63">
        <v>0</v>
      </c>
      <c r="V245" s="63">
        <v>0</v>
      </c>
      <c r="W245" s="63">
        <v>0</v>
      </c>
      <c r="X245" s="63">
        <v>0</v>
      </c>
      <c r="Y245" s="63">
        <v>0</v>
      </c>
      <c r="Z245" s="63">
        <v>0</v>
      </c>
      <c r="AA245" s="63">
        <v>0</v>
      </c>
      <c r="AB245" s="63">
        <v>0</v>
      </c>
      <c r="AC245" s="63">
        <v>0</v>
      </c>
      <c r="AD245" s="63">
        <v>0</v>
      </c>
      <c r="AE245" s="63">
        <v>0</v>
      </c>
      <c r="AF245" s="63">
        <v>0</v>
      </c>
      <c r="AG245" s="63">
        <v>0</v>
      </c>
      <c r="AH245" s="63">
        <v>0</v>
      </c>
      <c r="AI245" s="63">
        <v>0</v>
      </c>
      <c r="AJ245" s="64">
        <f t="shared" si="32"/>
        <v>0</v>
      </c>
    </row>
    <row r="246" spans="1:36" s="93" customFormat="1" ht="15.75">
      <c r="A246" s="82">
        <v>241</v>
      </c>
      <c r="B246" s="94" t="s">
        <v>293</v>
      </c>
      <c r="C246" s="95">
        <v>1917</v>
      </c>
      <c r="D246" s="95">
        <v>2</v>
      </c>
      <c r="E246" s="95">
        <v>3</v>
      </c>
      <c r="F246" s="95">
        <v>161.5</v>
      </c>
      <c r="G246" s="95"/>
      <c r="H246" s="95">
        <f>161.5-I246</f>
        <v>130.24</v>
      </c>
      <c r="I246" s="95">
        <v>31.26</v>
      </c>
      <c r="J246" s="95"/>
      <c r="K246" s="87">
        <v>1</v>
      </c>
      <c r="L246" s="87">
        <v>5.08</v>
      </c>
      <c r="M246" s="88">
        <f t="shared" si="30"/>
        <v>661.6192000000001</v>
      </c>
      <c r="N246" s="88">
        <f aca="true" t="shared" si="41" ref="N246:N272">L246*H246*12</f>
        <v>7939.430400000001</v>
      </c>
      <c r="O246" s="89">
        <f t="shared" si="31"/>
        <v>7570.246886400001</v>
      </c>
      <c r="P246" s="90">
        <v>0</v>
      </c>
      <c r="Q246" s="91">
        <v>0</v>
      </c>
      <c r="R246" s="91">
        <v>0</v>
      </c>
      <c r="S246" s="91">
        <v>0</v>
      </c>
      <c r="T246" s="91">
        <v>0</v>
      </c>
      <c r="U246" s="91">
        <v>0</v>
      </c>
      <c r="V246" s="91">
        <v>0</v>
      </c>
      <c r="W246" s="91">
        <v>0</v>
      </c>
      <c r="X246" s="91">
        <v>0</v>
      </c>
      <c r="Y246" s="91">
        <v>0</v>
      </c>
      <c r="Z246" s="91">
        <v>0</v>
      </c>
      <c r="AA246" s="91">
        <v>0</v>
      </c>
      <c r="AB246" s="91">
        <v>0</v>
      </c>
      <c r="AC246" s="91">
        <v>0</v>
      </c>
      <c r="AD246" s="91">
        <v>0</v>
      </c>
      <c r="AE246" s="91">
        <v>0</v>
      </c>
      <c r="AF246" s="91">
        <v>0</v>
      </c>
      <c r="AG246" s="91">
        <v>0</v>
      </c>
      <c r="AH246" s="91">
        <v>0</v>
      </c>
      <c r="AI246" s="91">
        <v>0</v>
      </c>
      <c r="AJ246" s="92">
        <f t="shared" si="32"/>
        <v>0</v>
      </c>
    </row>
    <row r="247" spans="1:39" ht="15.75">
      <c r="A247" s="12">
        <v>242</v>
      </c>
      <c r="B247" s="27" t="s">
        <v>294</v>
      </c>
      <c r="C247" s="28">
        <v>1972</v>
      </c>
      <c r="D247" s="28">
        <v>5</v>
      </c>
      <c r="E247" s="28">
        <v>60</v>
      </c>
      <c r="F247" s="28">
        <v>2766.2</v>
      </c>
      <c r="G247" s="29">
        <v>0</v>
      </c>
      <c r="H247" s="28">
        <v>2766.2</v>
      </c>
      <c r="I247" s="28"/>
      <c r="J247" s="28">
        <v>1890.6</v>
      </c>
      <c r="K247" s="23">
        <v>4</v>
      </c>
      <c r="L247" s="10">
        <v>5.08</v>
      </c>
      <c r="M247" s="16">
        <f t="shared" si="30"/>
        <v>14052.295999999998</v>
      </c>
      <c r="N247" s="16">
        <f t="shared" si="41"/>
        <v>168627.55199999997</v>
      </c>
      <c r="O247" s="17">
        <f t="shared" si="31"/>
        <v>160786.37083199996</v>
      </c>
      <c r="P247" s="77">
        <v>0</v>
      </c>
      <c r="Q247" s="18">
        <v>0</v>
      </c>
      <c r="R247" s="18">
        <v>0</v>
      </c>
      <c r="S247" s="18">
        <v>0</v>
      </c>
      <c r="T247" s="18">
        <v>0</v>
      </c>
      <c r="U247" s="96">
        <f>0.811</f>
        <v>0.811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10">
        <v>2.348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91">
        <f t="shared" si="32"/>
        <v>3.159</v>
      </c>
      <c r="AK247" s="5">
        <f aca="true" t="shared" si="42" ref="AK247:AK252">4963963*F247/653667.1</f>
        <v>21006.58645754085</v>
      </c>
      <c r="AL247" s="5">
        <f aca="true" t="shared" si="43" ref="AL247:AL252">3362538*F247/653567.1</f>
        <v>14231.82503464449</v>
      </c>
      <c r="AM247" s="5">
        <f aca="true" t="shared" si="44" ref="AM247:AM252">218982*F247/653567.1</f>
        <v>926.833692210027</v>
      </c>
    </row>
    <row r="248" spans="1:39" ht="15.75">
      <c r="A248" s="12">
        <v>243</v>
      </c>
      <c r="B248" s="27" t="s">
        <v>295</v>
      </c>
      <c r="C248" s="28">
        <v>1971</v>
      </c>
      <c r="D248" s="28">
        <v>5</v>
      </c>
      <c r="E248" s="28">
        <v>119</v>
      </c>
      <c r="F248" s="28">
        <v>5812.5</v>
      </c>
      <c r="G248" s="29">
        <v>0</v>
      </c>
      <c r="H248" s="28">
        <v>5812.5</v>
      </c>
      <c r="I248" s="28"/>
      <c r="J248" s="28">
        <v>4060.8</v>
      </c>
      <c r="K248" s="23">
        <v>8</v>
      </c>
      <c r="L248" s="10">
        <v>5.08</v>
      </c>
      <c r="M248" s="16">
        <f t="shared" si="30"/>
        <v>29527.5</v>
      </c>
      <c r="N248" s="16">
        <f t="shared" si="41"/>
        <v>354330</v>
      </c>
      <c r="O248" s="17">
        <f t="shared" si="31"/>
        <v>337853.655</v>
      </c>
      <c r="P248" s="103">
        <f>49.246+14.743</f>
        <v>63.989000000000004</v>
      </c>
      <c r="Q248" s="18">
        <v>0</v>
      </c>
      <c r="R248" s="184">
        <v>79.617</v>
      </c>
      <c r="S248" s="18">
        <v>0</v>
      </c>
      <c r="T248" s="18">
        <v>0</v>
      </c>
      <c r="U248" s="96">
        <f>11.133</f>
        <v>11.133</v>
      </c>
      <c r="V248" s="104">
        <v>1.914</v>
      </c>
      <c r="W248" s="18">
        <v>0</v>
      </c>
      <c r="X248" s="18">
        <v>0</v>
      </c>
      <c r="Y248" s="107">
        <v>1.944</v>
      </c>
      <c r="Z248" s="18">
        <v>0</v>
      </c>
      <c r="AA248" s="110">
        <v>33.169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91">
        <f t="shared" si="32"/>
        <v>191.76599999999996</v>
      </c>
      <c r="AK248" s="5">
        <f t="shared" si="42"/>
        <v>44140.25876091974</v>
      </c>
      <c r="AL248" s="5">
        <f t="shared" si="43"/>
        <v>29904.736828093093</v>
      </c>
      <c r="AM248" s="5">
        <f t="shared" si="44"/>
        <v>1947.5167507666772</v>
      </c>
    </row>
    <row r="249" spans="1:39" ht="15.75" customHeight="1">
      <c r="A249" s="12">
        <v>244</v>
      </c>
      <c r="B249" s="27" t="s">
        <v>296</v>
      </c>
      <c r="C249" s="28">
        <v>1972</v>
      </c>
      <c r="D249" s="28">
        <v>5</v>
      </c>
      <c r="E249" s="28">
        <v>60</v>
      </c>
      <c r="F249" s="28">
        <v>2717.5</v>
      </c>
      <c r="G249" s="29">
        <v>0</v>
      </c>
      <c r="H249" s="28">
        <v>2717.5</v>
      </c>
      <c r="I249" s="28"/>
      <c r="J249" s="28">
        <v>1839.5</v>
      </c>
      <c r="K249" s="23">
        <v>4</v>
      </c>
      <c r="L249" s="10">
        <v>5.08</v>
      </c>
      <c r="M249" s="16">
        <f t="shared" si="30"/>
        <v>13804.9</v>
      </c>
      <c r="N249" s="16">
        <f t="shared" si="41"/>
        <v>165658.8</v>
      </c>
      <c r="O249" s="17">
        <f t="shared" si="31"/>
        <v>157955.6658</v>
      </c>
      <c r="P249" s="103">
        <v>57.392</v>
      </c>
      <c r="Q249" s="18">
        <v>0</v>
      </c>
      <c r="R249" s="18">
        <v>0</v>
      </c>
      <c r="S249" s="18">
        <v>0</v>
      </c>
      <c r="T249" s="18">
        <v>0</v>
      </c>
      <c r="U249" s="96">
        <v>4.0579</v>
      </c>
      <c r="V249" s="18">
        <v>0</v>
      </c>
      <c r="W249" s="18">
        <v>0</v>
      </c>
      <c r="X249" s="18">
        <v>0</v>
      </c>
      <c r="Y249" s="107">
        <v>1.616</v>
      </c>
      <c r="Z249" s="18">
        <v>0</v>
      </c>
      <c r="AA249" s="110">
        <v>10.514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91">
        <f t="shared" si="32"/>
        <v>73.5799</v>
      </c>
      <c r="AK249" s="5">
        <f t="shared" si="42"/>
        <v>20636.757536825702</v>
      </c>
      <c r="AL249" s="5">
        <f t="shared" si="43"/>
        <v>13981.26835790847</v>
      </c>
      <c r="AM249" s="5">
        <f t="shared" si="44"/>
        <v>910.5164335842487</v>
      </c>
    </row>
    <row r="250" spans="1:39" ht="16.5" customHeight="1">
      <c r="A250" s="12">
        <v>245</v>
      </c>
      <c r="B250" s="27" t="s">
        <v>297</v>
      </c>
      <c r="C250" s="28">
        <v>1974</v>
      </c>
      <c r="D250" s="28">
        <v>5</v>
      </c>
      <c r="E250" s="28">
        <v>119</v>
      </c>
      <c r="F250" s="28">
        <v>5704</v>
      </c>
      <c r="G250" s="29">
        <v>0</v>
      </c>
      <c r="H250" s="28">
        <v>5704</v>
      </c>
      <c r="I250" s="28"/>
      <c r="J250" s="28">
        <v>3973</v>
      </c>
      <c r="K250" s="23">
        <v>8</v>
      </c>
      <c r="L250" s="10">
        <v>5.08</v>
      </c>
      <c r="M250" s="16">
        <f t="shared" si="30"/>
        <v>28976.32</v>
      </c>
      <c r="N250" s="16">
        <f>M250*$N$1</f>
        <v>347715.83999999997</v>
      </c>
      <c r="O250" s="17">
        <f t="shared" si="31"/>
        <v>331547.05344</v>
      </c>
      <c r="P250" s="103">
        <f>17.492+2.028</f>
        <v>19.52</v>
      </c>
      <c r="Q250" s="142">
        <v>2.514</v>
      </c>
      <c r="R250" s="18">
        <v>0</v>
      </c>
      <c r="S250" s="97">
        <f>4.863</f>
        <v>4.863</v>
      </c>
      <c r="T250" s="18">
        <v>0</v>
      </c>
      <c r="U250" s="96">
        <f>9.785+11.9367</f>
        <v>21.7217</v>
      </c>
      <c r="V250" s="104">
        <v>3.191</v>
      </c>
      <c r="W250" s="18">
        <v>0</v>
      </c>
      <c r="X250" s="279">
        <v>0.5</v>
      </c>
      <c r="Y250" s="107">
        <v>1.616</v>
      </c>
      <c r="Z250" s="18">
        <v>0</v>
      </c>
      <c r="AA250" s="110">
        <v>8.873</v>
      </c>
      <c r="AB250" s="185">
        <v>2.3324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91">
        <f t="shared" si="32"/>
        <v>65.1311</v>
      </c>
      <c r="AK250" s="5">
        <f t="shared" si="42"/>
        <v>43316.30726404924</v>
      </c>
      <c r="AL250" s="5">
        <f t="shared" si="43"/>
        <v>29346.515073968687</v>
      </c>
      <c r="AM250" s="5">
        <f t="shared" si="44"/>
        <v>1911.163104752366</v>
      </c>
    </row>
    <row r="251" spans="1:39" ht="15.75">
      <c r="A251" s="12">
        <v>246</v>
      </c>
      <c r="B251" s="13" t="s">
        <v>298</v>
      </c>
      <c r="C251" s="14">
        <v>1978</v>
      </c>
      <c r="D251" s="14">
        <v>5</v>
      </c>
      <c r="E251" s="14">
        <v>75</v>
      </c>
      <c r="F251" s="14">
        <v>3447.4</v>
      </c>
      <c r="G251" s="8">
        <v>0</v>
      </c>
      <c r="H251" s="14">
        <v>3447.4</v>
      </c>
      <c r="I251" s="14"/>
      <c r="J251" s="14">
        <v>2010.7</v>
      </c>
      <c r="K251" s="10">
        <v>5</v>
      </c>
      <c r="L251" s="10">
        <v>5.08</v>
      </c>
      <c r="M251" s="16">
        <f t="shared" si="30"/>
        <v>17512.792</v>
      </c>
      <c r="N251" s="16">
        <f t="shared" si="41"/>
        <v>210153.50400000002</v>
      </c>
      <c r="O251" s="17">
        <f t="shared" si="31"/>
        <v>200381.36606400003</v>
      </c>
      <c r="P251" s="103">
        <v>69.182</v>
      </c>
      <c r="Q251" s="18">
        <v>0</v>
      </c>
      <c r="R251" s="184">
        <f>94.594+8.16</f>
        <v>102.75399999999999</v>
      </c>
      <c r="S251" s="18">
        <v>0</v>
      </c>
      <c r="T251" s="18">
        <v>0</v>
      </c>
      <c r="U251" s="96">
        <f>21.934</f>
        <v>21.934</v>
      </c>
      <c r="V251" s="18">
        <v>0</v>
      </c>
      <c r="W251" s="18">
        <v>0</v>
      </c>
      <c r="X251" s="18">
        <v>0</v>
      </c>
      <c r="Y251" s="107">
        <v>5.839</v>
      </c>
      <c r="Z251" s="18">
        <v>0</v>
      </c>
      <c r="AA251" s="110">
        <v>8.873</v>
      </c>
      <c r="AB251" s="18">
        <v>0</v>
      </c>
      <c r="AC251" s="187">
        <v>4.862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91">
        <f t="shared" si="32"/>
        <v>213.44399999999996</v>
      </c>
      <c r="AK251" s="5">
        <f t="shared" si="42"/>
        <v>26179.63493374533</v>
      </c>
      <c r="AL251" s="5">
        <f t="shared" si="43"/>
        <v>17736.53156837301</v>
      </c>
      <c r="AM251" s="5">
        <f t="shared" si="44"/>
        <v>1155.0742789837495</v>
      </c>
    </row>
    <row r="252" spans="1:39" ht="15.75">
      <c r="A252" s="12">
        <v>247</v>
      </c>
      <c r="B252" s="13" t="s">
        <v>299</v>
      </c>
      <c r="C252" s="14">
        <v>1962</v>
      </c>
      <c r="D252" s="14">
        <v>2</v>
      </c>
      <c r="E252" s="14">
        <v>16</v>
      </c>
      <c r="F252" s="14">
        <v>646.6</v>
      </c>
      <c r="G252" s="8">
        <v>0</v>
      </c>
      <c r="H252" s="14">
        <v>646.6</v>
      </c>
      <c r="I252" s="14"/>
      <c r="J252" s="14">
        <v>425.4</v>
      </c>
      <c r="K252" s="10">
        <v>1</v>
      </c>
      <c r="L252" s="10">
        <v>5.08</v>
      </c>
      <c r="M252" s="16">
        <f t="shared" si="30"/>
        <v>3284.728</v>
      </c>
      <c r="N252" s="16">
        <f t="shared" si="41"/>
        <v>39416.736000000004</v>
      </c>
      <c r="O252" s="17">
        <f t="shared" si="31"/>
        <v>37583.857776000004</v>
      </c>
      <c r="P252" s="103">
        <v>4.978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278">
        <v>104.961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91">
        <f t="shared" si="32"/>
        <v>109.939</v>
      </c>
      <c r="AK252" s="5">
        <f t="shared" si="42"/>
        <v>4910.295279967433</v>
      </c>
      <c r="AL252" s="5">
        <f t="shared" si="43"/>
        <v>3326.69296052387</v>
      </c>
      <c r="AM252" s="5">
        <f t="shared" si="44"/>
        <v>216.64762684657785</v>
      </c>
    </row>
    <row r="253" spans="1:36" s="93" customFormat="1" ht="15.75">
      <c r="A253" s="82">
        <v>248</v>
      </c>
      <c r="B253" s="94" t="s">
        <v>300</v>
      </c>
      <c r="C253" s="95">
        <v>1955</v>
      </c>
      <c r="D253" s="95">
        <v>2</v>
      </c>
      <c r="E253" s="95">
        <v>4</v>
      </c>
      <c r="F253" s="95">
        <v>770.4</v>
      </c>
      <c r="G253" s="95"/>
      <c r="H253" s="95">
        <f>770.4-I253</f>
        <v>704.9</v>
      </c>
      <c r="I253" s="95">
        <f>65.5</f>
        <v>65.5</v>
      </c>
      <c r="J253" s="95"/>
      <c r="K253" s="87">
        <v>1</v>
      </c>
      <c r="L253" s="87">
        <v>5.08</v>
      </c>
      <c r="M253" s="88">
        <f t="shared" si="30"/>
        <v>3580.892</v>
      </c>
      <c r="N253" s="88">
        <f t="shared" si="41"/>
        <v>42970.704</v>
      </c>
      <c r="O253" s="89">
        <f t="shared" si="31"/>
        <v>40972.566264</v>
      </c>
      <c r="P253" s="90">
        <v>0</v>
      </c>
      <c r="Q253" s="91">
        <v>0</v>
      </c>
      <c r="R253" s="91">
        <v>0</v>
      </c>
      <c r="S253" s="91">
        <v>0</v>
      </c>
      <c r="T253" s="91">
        <v>0</v>
      </c>
      <c r="U253" s="91">
        <v>0</v>
      </c>
      <c r="V253" s="91">
        <v>0</v>
      </c>
      <c r="W253" s="91">
        <v>0</v>
      </c>
      <c r="X253" s="91">
        <v>0</v>
      </c>
      <c r="Y253" s="91">
        <v>0</v>
      </c>
      <c r="Z253" s="91">
        <v>0</v>
      </c>
      <c r="AA253" s="91">
        <v>0</v>
      </c>
      <c r="AB253" s="91">
        <v>0</v>
      </c>
      <c r="AC253" s="91">
        <v>0</v>
      </c>
      <c r="AD253" s="91">
        <v>0</v>
      </c>
      <c r="AE253" s="91">
        <v>0</v>
      </c>
      <c r="AF253" s="91">
        <v>0</v>
      </c>
      <c r="AG253" s="91">
        <v>0</v>
      </c>
      <c r="AH253" s="91">
        <v>0</v>
      </c>
      <c r="AI253" s="91">
        <v>0</v>
      </c>
      <c r="AJ253" s="92">
        <f t="shared" si="32"/>
        <v>0</v>
      </c>
    </row>
    <row r="254" spans="1:39" ht="15.75">
      <c r="A254" s="12">
        <v>249</v>
      </c>
      <c r="B254" s="13" t="s">
        <v>301</v>
      </c>
      <c r="C254" s="14" t="s">
        <v>302</v>
      </c>
      <c r="D254" s="14">
        <v>5</v>
      </c>
      <c r="E254" s="14">
        <v>60</v>
      </c>
      <c r="F254" s="14">
        <v>3239.9</v>
      </c>
      <c r="G254" s="8">
        <v>0</v>
      </c>
      <c r="H254" s="14">
        <v>3239.9</v>
      </c>
      <c r="I254" s="14"/>
      <c r="J254" s="14">
        <v>1863.7</v>
      </c>
      <c r="K254" s="10">
        <v>4</v>
      </c>
      <c r="L254" s="10">
        <v>5.08</v>
      </c>
      <c r="M254" s="16">
        <f t="shared" si="30"/>
        <v>16458.692</v>
      </c>
      <c r="N254" s="16">
        <f t="shared" si="41"/>
        <v>197504.304</v>
      </c>
      <c r="O254" s="17">
        <f t="shared" si="31"/>
        <v>188320.353864</v>
      </c>
      <c r="P254" s="103">
        <v>5.1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08">
        <v>0.366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91">
        <f t="shared" si="32"/>
        <v>5.465999999999999</v>
      </c>
      <c r="AK254" s="5">
        <f>4963963*F254/653667.1</f>
        <v>24603.875158624323</v>
      </c>
      <c r="AL254" s="5">
        <f>3362538*F254/653567.1</f>
        <v>16668.964619241087</v>
      </c>
      <c r="AM254" s="5">
        <f>218982*F254/653567.1</f>
        <v>1085.5500250854122</v>
      </c>
    </row>
    <row r="255" spans="1:36" s="65" customFormat="1" ht="15.75">
      <c r="A255" s="56">
        <v>250</v>
      </c>
      <c r="B255" s="73" t="s">
        <v>303</v>
      </c>
      <c r="C255" s="59">
        <v>1962</v>
      </c>
      <c r="D255" s="59">
        <v>1</v>
      </c>
      <c r="E255" s="59">
        <v>2</v>
      </c>
      <c r="F255" s="59">
        <v>117.5</v>
      </c>
      <c r="G255" s="59">
        <v>0</v>
      </c>
      <c r="H255" s="59">
        <f>117.5*0</f>
        <v>0</v>
      </c>
      <c r="I255" s="59"/>
      <c r="J255" s="59">
        <v>93</v>
      </c>
      <c r="K255" s="60">
        <v>1</v>
      </c>
      <c r="L255" s="60" t="s">
        <v>336</v>
      </c>
      <c r="M255" s="61">
        <v>0</v>
      </c>
      <c r="N255" s="61">
        <f>M255*$N$1</f>
        <v>0</v>
      </c>
      <c r="O255" s="62">
        <f t="shared" si="31"/>
        <v>0</v>
      </c>
      <c r="P255" s="78">
        <v>0</v>
      </c>
      <c r="Q255" s="63">
        <v>0</v>
      </c>
      <c r="R255" s="63">
        <v>0</v>
      </c>
      <c r="S255" s="63">
        <v>0</v>
      </c>
      <c r="T255" s="63">
        <v>0</v>
      </c>
      <c r="U255" s="63">
        <v>0</v>
      </c>
      <c r="V255" s="63">
        <v>0</v>
      </c>
      <c r="W255" s="63">
        <v>0</v>
      </c>
      <c r="X255" s="63">
        <v>0</v>
      </c>
      <c r="Y255" s="63">
        <v>0</v>
      </c>
      <c r="Z255" s="63">
        <v>0</v>
      </c>
      <c r="AA255" s="63">
        <v>0</v>
      </c>
      <c r="AB255" s="63">
        <v>0</v>
      </c>
      <c r="AC255" s="63">
        <v>0</v>
      </c>
      <c r="AD255" s="63">
        <v>0</v>
      </c>
      <c r="AE255" s="63">
        <v>0</v>
      </c>
      <c r="AF255" s="63">
        <v>0</v>
      </c>
      <c r="AG255" s="63">
        <v>0</v>
      </c>
      <c r="AH255" s="63">
        <v>0</v>
      </c>
      <c r="AI255" s="63">
        <v>0</v>
      </c>
      <c r="AJ255" s="64">
        <f t="shared" si="32"/>
        <v>0</v>
      </c>
    </row>
    <row r="256" spans="1:39" ht="15.75">
      <c r="A256" s="12">
        <v>251</v>
      </c>
      <c r="B256" s="13" t="s">
        <v>304</v>
      </c>
      <c r="C256" s="14" t="s">
        <v>305</v>
      </c>
      <c r="D256" s="14">
        <v>8</v>
      </c>
      <c r="E256" s="14">
        <v>48</v>
      </c>
      <c r="F256" s="14">
        <v>2978.7</v>
      </c>
      <c r="G256" s="8">
        <v>0</v>
      </c>
      <c r="H256" s="14">
        <v>2978.7</v>
      </c>
      <c r="I256" s="14"/>
      <c r="J256" s="14">
        <v>1881.7</v>
      </c>
      <c r="K256" s="10">
        <v>2</v>
      </c>
      <c r="L256" s="10">
        <v>5.08</v>
      </c>
      <c r="M256" s="16">
        <f t="shared" si="30"/>
        <v>15131.795999999998</v>
      </c>
      <c r="N256" s="16">
        <f t="shared" si="41"/>
        <v>181581.55199999997</v>
      </c>
      <c r="O256" s="17">
        <f t="shared" si="31"/>
        <v>173138.00983199998</v>
      </c>
      <c r="P256" s="103">
        <f>0.927+2.487</f>
        <v>3.414</v>
      </c>
      <c r="Q256" s="18">
        <v>0</v>
      </c>
      <c r="R256" s="18">
        <v>0</v>
      </c>
      <c r="S256" s="97">
        <v>0.935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07">
        <v>14.958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91">
        <f t="shared" si="32"/>
        <v>19.307000000000002</v>
      </c>
      <c r="AK256" s="5">
        <f aca="true" t="shared" si="45" ref="AK256:AK264">4963963*F256/653667.1</f>
        <v>22620.31634772501</v>
      </c>
      <c r="AL256" s="5">
        <f aca="true" t="shared" si="46" ref="AL256:AL264">3362538*F256/653567.1</f>
        <v>15325.116488574775</v>
      </c>
      <c r="AM256" s="5">
        <f aca="true" t="shared" si="47" ref="AM256:AM264">218982*F256/653567.1</f>
        <v>998.0332293348304</v>
      </c>
    </row>
    <row r="257" spans="1:39" ht="15.75">
      <c r="A257" s="12">
        <v>252</v>
      </c>
      <c r="B257" s="13" t="s">
        <v>306</v>
      </c>
      <c r="C257" s="14" t="s">
        <v>305</v>
      </c>
      <c r="D257" s="14">
        <v>5</v>
      </c>
      <c r="E257" s="14">
        <v>90</v>
      </c>
      <c r="F257" s="14">
        <v>4452.4</v>
      </c>
      <c r="G257" s="8">
        <v>0</v>
      </c>
      <c r="H257" s="14">
        <v>4452.4</v>
      </c>
      <c r="I257" s="14"/>
      <c r="J257" s="14">
        <v>3093.9</v>
      </c>
      <c r="K257" s="10">
        <v>6</v>
      </c>
      <c r="L257" s="10">
        <v>5.08</v>
      </c>
      <c r="M257" s="16">
        <f t="shared" si="30"/>
        <v>22618.192</v>
      </c>
      <c r="N257" s="16">
        <f t="shared" si="41"/>
        <v>271418.304</v>
      </c>
      <c r="O257" s="17">
        <f t="shared" si="31"/>
        <v>258797.35286400001</v>
      </c>
      <c r="P257" s="103">
        <v>17.179</v>
      </c>
      <c r="Q257" s="18">
        <v>0</v>
      </c>
      <c r="R257" s="184">
        <f>15.385+40.8</f>
        <v>56.184999999999995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10">
        <v>0.917</v>
      </c>
      <c r="AB257" s="18">
        <v>0</v>
      </c>
      <c r="AC257" s="186">
        <f>2.15618+10.167</f>
        <v>12.32318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91">
        <f t="shared" si="32"/>
        <v>86.60417999999999</v>
      </c>
      <c r="AK257" s="5">
        <f t="shared" si="45"/>
        <v>33811.628061439835</v>
      </c>
      <c r="AL257" s="5">
        <f t="shared" si="46"/>
        <v>22907.157032843297</v>
      </c>
      <c r="AM257" s="5">
        <f t="shared" si="47"/>
        <v>1491.806207503407</v>
      </c>
    </row>
    <row r="258" spans="1:39" ht="15.75" customHeight="1">
      <c r="A258" s="12">
        <v>253</v>
      </c>
      <c r="B258" s="13" t="s">
        <v>307</v>
      </c>
      <c r="C258" s="14">
        <v>1975</v>
      </c>
      <c r="D258" s="14">
        <v>5</v>
      </c>
      <c r="E258" s="14">
        <v>90</v>
      </c>
      <c r="F258" s="14">
        <v>4396.9</v>
      </c>
      <c r="G258" s="8">
        <v>0</v>
      </c>
      <c r="H258" s="14">
        <v>4396.9</v>
      </c>
      <c r="I258" s="14"/>
      <c r="J258" s="14">
        <v>3048.7</v>
      </c>
      <c r="K258" s="10">
        <v>6</v>
      </c>
      <c r="L258" s="10">
        <v>5.08</v>
      </c>
      <c r="M258" s="16">
        <f t="shared" si="30"/>
        <v>22336.251999999997</v>
      </c>
      <c r="N258" s="16">
        <f t="shared" si="41"/>
        <v>268035.024</v>
      </c>
      <c r="O258" s="17">
        <f t="shared" si="31"/>
        <v>255571.39538399997</v>
      </c>
      <c r="P258" s="103">
        <v>5.764</v>
      </c>
      <c r="Q258" s="142">
        <v>5.028</v>
      </c>
      <c r="R258" s="184">
        <v>11.824</v>
      </c>
      <c r="S258" s="97">
        <f>2.311+0.884</f>
        <v>3.195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06">
        <v>1.595</v>
      </c>
      <c r="AA258" s="110">
        <v>3.966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91">
        <f t="shared" si="32"/>
        <v>31.372</v>
      </c>
      <c r="AK258" s="5">
        <f t="shared" si="45"/>
        <v>33390.15978423879</v>
      </c>
      <c r="AL258" s="5">
        <f t="shared" si="46"/>
        <v>22621.615029581506</v>
      </c>
      <c r="AM258" s="5">
        <f t="shared" si="47"/>
        <v>1473.210563689635</v>
      </c>
    </row>
    <row r="259" spans="1:39" ht="15.75" customHeight="1">
      <c r="A259" s="12">
        <v>254</v>
      </c>
      <c r="B259" s="13" t="s">
        <v>308</v>
      </c>
      <c r="C259" s="14">
        <v>1973</v>
      </c>
      <c r="D259" s="14">
        <v>5</v>
      </c>
      <c r="E259" s="14">
        <v>129</v>
      </c>
      <c r="F259" s="14">
        <v>6373.9</v>
      </c>
      <c r="G259" s="8">
        <v>0</v>
      </c>
      <c r="H259" s="14">
        <v>6373.9</v>
      </c>
      <c r="I259" s="14"/>
      <c r="J259" s="14">
        <v>4223.7</v>
      </c>
      <c r="K259" s="10">
        <v>8</v>
      </c>
      <c r="L259" s="10">
        <v>5.08</v>
      </c>
      <c r="M259" s="16">
        <f t="shared" si="30"/>
        <v>32379.412</v>
      </c>
      <c r="N259" s="16">
        <f t="shared" si="41"/>
        <v>388552.944</v>
      </c>
      <c r="O259" s="17">
        <f t="shared" si="31"/>
        <v>370485.232104</v>
      </c>
      <c r="P259" s="77">
        <v>0</v>
      </c>
      <c r="Q259" s="18">
        <v>0</v>
      </c>
      <c r="R259" s="18">
        <v>0</v>
      </c>
      <c r="S259" s="97">
        <v>6.869</v>
      </c>
      <c r="T259" s="100">
        <f>37.838</f>
        <v>37.838</v>
      </c>
      <c r="U259" s="18">
        <v>0</v>
      </c>
      <c r="V259" s="18">
        <v>0</v>
      </c>
      <c r="W259" s="18">
        <v>0</v>
      </c>
      <c r="X259" s="18">
        <v>0</v>
      </c>
      <c r="Y259" s="107">
        <v>17.915</v>
      </c>
      <c r="Z259" s="18">
        <v>0</v>
      </c>
      <c r="AA259" s="110">
        <v>45.236</v>
      </c>
      <c r="AB259" s="18">
        <v>0</v>
      </c>
      <c r="AC259" s="186">
        <f>7.44237+5.1748+2.669</f>
        <v>15.286170000000002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91">
        <f t="shared" si="32"/>
        <v>123.14417</v>
      </c>
      <c r="AK259" s="5">
        <f t="shared" si="45"/>
        <v>48403.54328021098</v>
      </c>
      <c r="AL259" s="5">
        <f t="shared" si="46"/>
        <v>32793.08422685291</v>
      </c>
      <c r="AM259" s="5">
        <f t="shared" si="47"/>
        <v>2135.617551434275</v>
      </c>
    </row>
    <row r="260" spans="1:39" ht="15.75">
      <c r="A260" s="12">
        <v>255</v>
      </c>
      <c r="B260" s="13" t="s">
        <v>309</v>
      </c>
      <c r="C260" s="14">
        <v>1975</v>
      </c>
      <c r="D260" s="14">
        <v>5</v>
      </c>
      <c r="E260" s="14">
        <v>60</v>
      </c>
      <c r="F260" s="14">
        <v>2722.6</v>
      </c>
      <c r="G260" s="8">
        <v>61.1</v>
      </c>
      <c r="H260" s="14">
        <v>2661.5</v>
      </c>
      <c r="I260" s="14"/>
      <c r="J260" s="14">
        <v>1846.1</v>
      </c>
      <c r="K260" s="10">
        <v>4</v>
      </c>
      <c r="L260" s="10">
        <v>5.08</v>
      </c>
      <c r="M260" s="16">
        <f t="shared" si="30"/>
        <v>13520.42</v>
      </c>
      <c r="N260" s="16">
        <f t="shared" si="41"/>
        <v>162245.04</v>
      </c>
      <c r="O260" s="17">
        <f t="shared" si="31"/>
        <v>154700.64564</v>
      </c>
      <c r="P260" s="103">
        <v>0.59</v>
      </c>
      <c r="Q260" s="18">
        <v>0</v>
      </c>
      <c r="R260" s="184">
        <v>8.16</v>
      </c>
      <c r="S260" s="98">
        <v>2.311</v>
      </c>
      <c r="T260" s="100">
        <v>1.239</v>
      </c>
      <c r="U260" s="96">
        <f>2.096+10.372+4.473</f>
        <v>16.941</v>
      </c>
      <c r="V260" s="18">
        <v>0</v>
      </c>
      <c r="W260" s="18">
        <v>0</v>
      </c>
      <c r="X260" s="18">
        <v>0</v>
      </c>
      <c r="Y260" s="107">
        <v>1.616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91">
        <f t="shared" si="32"/>
        <v>30.857</v>
      </c>
      <c r="AK260" s="5">
        <f t="shared" si="45"/>
        <v>20675.487054190122</v>
      </c>
      <c r="AL260" s="5">
        <f t="shared" si="46"/>
        <v>14007.507352802795</v>
      </c>
      <c r="AM260" s="5">
        <f t="shared" si="47"/>
        <v>912.2252224752439</v>
      </c>
    </row>
    <row r="261" spans="1:39" ht="15.75">
      <c r="A261" s="12">
        <v>256</v>
      </c>
      <c r="B261" s="13" t="s">
        <v>310</v>
      </c>
      <c r="C261" s="14">
        <v>1972</v>
      </c>
      <c r="D261" s="14">
        <v>5</v>
      </c>
      <c r="E261" s="14">
        <v>90</v>
      </c>
      <c r="F261" s="14">
        <v>4534.7</v>
      </c>
      <c r="G261" s="8">
        <v>0</v>
      </c>
      <c r="H261" s="14">
        <v>4534.7</v>
      </c>
      <c r="I261" s="14"/>
      <c r="J261" s="14">
        <v>3137.3</v>
      </c>
      <c r="K261" s="10">
        <v>6</v>
      </c>
      <c r="L261" s="10">
        <v>5.08</v>
      </c>
      <c r="M261" s="16">
        <f t="shared" si="30"/>
        <v>23036.275999999998</v>
      </c>
      <c r="N261" s="16">
        <f>M261*$N$1</f>
        <v>276435.312</v>
      </c>
      <c r="O261" s="17">
        <f t="shared" si="31"/>
        <v>263581.069992</v>
      </c>
      <c r="P261" s="103">
        <v>1.444</v>
      </c>
      <c r="Q261" s="18">
        <v>0</v>
      </c>
      <c r="R261" s="184">
        <v>8.16</v>
      </c>
      <c r="S261" s="97">
        <v>2.311</v>
      </c>
      <c r="T261" s="18">
        <v>0</v>
      </c>
      <c r="U261" s="96">
        <f>2.855</f>
        <v>2.855</v>
      </c>
      <c r="V261" s="18">
        <v>0</v>
      </c>
      <c r="W261" s="18">
        <v>0</v>
      </c>
      <c r="X261" s="18">
        <v>0</v>
      </c>
      <c r="Y261" s="107">
        <v>0.653</v>
      </c>
      <c r="Z261" s="106">
        <v>4.186</v>
      </c>
      <c r="AA261" s="110">
        <v>17.714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91">
        <f t="shared" si="32"/>
        <v>37.323</v>
      </c>
      <c r="AK261" s="5">
        <f t="shared" si="45"/>
        <v>34436.61615537939</v>
      </c>
      <c r="AL261" s="5">
        <f t="shared" si="46"/>
        <v>23330.582381824297</v>
      </c>
      <c r="AM261" s="5">
        <f t="shared" si="47"/>
        <v>1519.3813694110368</v>
      </c>
    </row>
    <row r="262" spans="1:39" ht="15.75">
      <c r="A262" s="12">
        <v>257</v>
      </c>
      <c r="B262" s="13" t="s">
        <v>311</v>
      </c>
      <c r="C262" s="14">
        <v>1982</v>
      </c>
      <c r="D262" s="14">
        <v>9</v>
      </c>
      <c r="E262" s="14">
        <v>357</v>
      </c>
      <c r="F262" s="14">
        <v>17822.9</v>
      </c>
      <c r="G262" s="8">
        <v>67.9</v>
      </c>
      <c r="H262" s="14">
        <v>17755</v>
      </c>
      <c r="I262" s="14"/>
      <c r="J262" s="14">
        <v>11877.9</v>
      </c>
      <c r="K262" s="10">
        <v>10</v>
      </c>
      <c r="L262" s="10">
        <v>5.08</v>
      </c>
      <c r="M262" s="16">
        <f t="shared" si="30"/>
        <v>90195.4</v>
      </c>
      <c r="N262" s="16">
        <f t="shared" si="41"/>
        <v>1082344.7999999998</v>
      </c>
      <c r="O262" s="17">
        <f t="shared" si="31"/>
        <v>1032015.7667999999</v>
      </c>
      <c r="P262" s="103">
        <v>14.756</v>
      </c>
      <c r="Q262" s="18">
        <v>0</v>
      </c>
      <c r="R262" s="184">
        <f>19.904+23.649</f>
        <v>43.553</v>
      </c>
      <c r="S262" s="97">
        <f>2.311+60.447+0.495</f>
        <v>63.253</v>
      </c>
      <c r="T262" s="99">
        <f>657.21+728.01+52.348+5.956+13.749</f>
        <v>1457.273</v>
      </c>
      <c r="U262" s="96">
        <f>0.222+5.657</f>
        <v>5.8790000000000004</v>
      </c>
      <c r="V262" s="18">
        <v>0</v>
      </c>
      <c r="W262" s="18">
        <v>0</v>
      </c>
      <c r="X262" s="18">
        <v>0</v>
      </c>
      <c r="Y262" s="107">
        <v>17.605</v>
      </c>
      <c r="Z262" s="106">
        <v>23.6731</v>
      </c>
      <c r="AA262" s="110">
        <v>14.576</v>
      </c>
      <c r="AB262" s="18">
        <v>0</v>
      </c>
      <c r="AC262" s="186">
        <v>24.43912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91">
        <f t="shared" si="32"/>
        <v>1665.0072199999997</v>
      </c>
      <c r="AK262" s="5">
        <f t="shared" si="45"/>
        <v>135347.51275182737</v>
      </c>
      <c r="AL262" s="5">
        <f t="shared" si="46"/>
        <v>91697.05531413684</v>
      </c>
      <c r="AM262" s="5">
        <f t="shared" si="47"/>
        <v>5971.681083396028</v>
      </c>
    </row>
    <row r="263" spans="1:39" ht="15.75">
      <c r="A263" s="12">
        <v>258</v>
      </c>
      <c r="B263" s="13" t="s">
        <v>312</v>
      </c>
      <c r="C263" s="14">
        <v>1992.1999</v>
      </c>
      <c r="D263" s="14">
        <v>9</v>
      </c>
      <c r="E263" s="14">
        <v>152</v>
      </c>
      <c r="F263" s="14">
        <v>11797.2</v>
      </c>
      <c r="G263" s="8">
        <v>2035.5</v>
      </c>
      <c r="H263" s="14">
        <v>9761.7</v>
      </c>
      <c r="I263" s="14"/>
      <c r="J263" s="14">
        <v>4965.4</v>
      </c>
      <c r="K263" s="10">
        <v>5</v>
      </c>
      <c r="L263" s="10">
        <v>5.08</v>
      </c>
      <c r="M263" s="16">
        <f aca="true" t="shared" si="48" ref="M263:M281">L263*H263</f>
        <v>49589.436</v>
      </c>
      <c r="N263" s="16">
        <f t="shared" si="41"/>
        <v>595073.2320000001</v>
      </c>
      <c r="O263" s="17">
        <f aca="true" t="shared" si="49" ref="O263:O281">N263*$O$1</f>
        <v>567402.3267120001</v>
      </c>
      <c r="P263" s="103">
        <f>7.083+8.273</f>
        <v>15.356</v>
      </c>
      <c r="Q263" s="18">
        <v>0</v>
      </c>
      <c r="R263" s="18">
        <v>0</v>
      </c>
      <c r="S263" s="18">
        <v>0</v>
      </c>
      <c r="T263" s="100">
        <f>8.139</f>
        <v>8.139</v>
      </c>
      <c r="U263" s="96">
        <f>23.008+3.073+4.804</f>
        <v>30.884999999999998</v>
      </c>
      <c r="V263" s="18">
        <v>0</v>
      </c>
      <c r="W263" s="18">
        <v>0</v>
      </c>
      <c r="X263" s="278">
        <v>48.107</v>
      </c>
      <c r="Y263" s="107">
        <v>0.653</v>
      </c>
      <c r="Z263" s="18">
        <v>0</v>
      </c>
      <c r="AA263" s="110">
        <v>29.736</v>
      </c>
      <c r="AB263" s="185">
        <f>65.68+8.768</f>
        <v>74.44800000000001</v>
      </c>
      <c r="AC263" s="187">
        <f>2.669+0.738+0.2301</f>
        <v>3.6371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91">
        <f aca="true" t="shared" si="50" ref="AJ263:AJ281">SUM(P263,Q263,R263,S263,T263,U263,V263,W263,X263,Y263,Z263,AA263,AB263,AC263,AD263,AE263,AF263,AG263,AH263,AI263)</f>
        <v>210.96110000000002</v>
      </c>
      <c r="AK263" s="5">
        <f t="shared" si="45"/>
        <v>89588.20828461461</v>
      </c>
      <c r="AL263" s="5">
        <f t="shared" si="46"/>
        <v>60695.4256014417</v>
      </c>
      <c r="AM263" s="5">
        <f t="shared" si="47"/>
        <v>3952.730255852842</v>
      </c>
    </row>
    <row r="264" spans="1:39" ht="15.75">
      <c r="A264" s="12">
        <v>259</v>
      </c>
      <c r="B264" s="13" t="s">
        <v>313</v>
      </c>
      <c r="C264" s="14">
        <v>1994</v>
      </c>
      <c r="D264" s="14">
        <v>9</v>
      </c>
      <c r="E264" s="14">
        <v>36</v>
      </c>
      <c r="F264" s="14">
        <v>2394.5</v>
      </c>
      <c r="G264" s="8">
        <v>253.8</v>
      </c>
      <c r="H264" s="14">
        <v>2140.7</v>
      </c>
      <c r="I264" s="14"/>
      <c r="J264" s="14">
        <v>1236.7</v>
      </c>
      <c r="K264" s="10">
        <v>1</v>
      </c>
      <c r="L264" s="10">
        <v>5.08</v>
      </c>
      <c r="M264" s="16">
        <f t="shared" si="48"/>
        <v>10874.756</v>
      </c>
      <c r="N264" s="16">
        <f t="shared" si="41"/>
        <v>130497.07199999999</v>
      </c>
      <c r="O264" s="17">
        <f t="shared" si="49"/>
        <v>124428.95815199999</v>
      </c>
      <c r="P264" s="103">
        <v>16.697</v>
      </c>
      <c r="Q264" s="18">
        <v>0</v>
      </c>
      <c r="R264" s="184">
        <f>8.16+11.824</f>
        <v>19.984</v>
      </c>
      <c r="S264" s="18">
        <v>0</v>
      </c>
      <c r="T264" s="100">
        <v>52.348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10">
        <v>2.098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91">
        <f t="shared" si="50"/>
        <v>91.127</v>
      </c>
      <c r="AK264" s="5">
        <f t="shared" si="45"/>
        <v>18183.888103745776</v>
      </c>
      <c r="AL264" s="5">
        <f t="shared" si="46"/>
        <v>12319.465347934436</v>
      </c>
      <c r="AM264" s="5">
        <f t="shared" si="47"/>
        <v>802.2931371545477</v>
      </c>
    </row>
    <row r="265" spans="1:36" ht="15.75">
      <c r="A265" s="12">
        <v>260</v>
      </c>
      <c r="B265" s="20" t="s">
        <v>314</v>
      </c>
      <c r="C265" s="21">
        <v>1910</v>
      </c>
      <c r="D265" s="21">
        <v>2</v>
      </c>
      <c r="E265" s="21">
        <v>8</v>
      </c>
      <c r="F265" s="21">
        <v>340.7</v>
      </c>
      <c r="G265" s="8"/>
      <c r="H265" s="21">
        <v>340.4</v>
      </c>
      <c r="I265" s="21"/>
      <c r="J265" s="21"/>
      <c r="K265" s="10">
        <v>1</v>
      </c>
      <c r="L265" s="10">
        <v>5.08</v>
      </c>
      <c r="M265" s="16">
        <f t="shared" si="48"/>
        <v>1729.232</v>
      </c>
      <c r="N265" s="16">
        <f t="shared" si="41"/>
        <v>20750.784</v>
      </c>
      <c r="O265" s="17">
        <f t="shared" si="49"/>
        <v>19785.872544</v>
      </c>
      <c r="P265" s="77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9">
        <f t="shared" si="50"/>
        <v>0</v>
      </c>
    </row>
    <row r="266" spans="1:36" s="65" customFormat="1" ht="15.75">
      <c r="A266" s="56">
        <v>261</v>
      </c>
      <c r="B266" s="57" t="s">
        <v>315</v>
      </c>
      <c r="C266" s="58">
        <v>1917</v>
      </c>
      <c r="D266" s="58">
        <v>2</v>
      </c>
      <c r="E266" s="58">
        <v>5</v>
      </c>
      <c r="F266" s="58">
        <v>324.8</v>
      </c>
      <c r="G266" s="58"/>
      <c r="H266" s="58">
        <f>324.8*0</f>
        <v>0</v>
      </c>
      <c r="I266" s="58"/>
      <c r="J266" s="58"/>
      <c r="K266" s="60">
        <v>1</v>
      </c>
      <c r="L266" s="60" t="s">
        <v>336</v>
      </c>
      <c r="M266" s="61">
        <v>0</v>
      </c>
      <c r="N266" s="61">
        <f>M266*$N$1</f>
        <v>0</v>
      </c>
      <c r="O266" s="62">
        <f t="shared" si="49"/>
        <v>0</v>
      </c>
      <c r="P266" s="78">
        <v>0</v>
      </c>
      <c r="Q266" s="63">
        <v>0</v>
      </c>
      <c r="R266" s="63">
        <v>0</v>
      </c>
      <c r="S266" s="63">
        <v>0</v>
      </c>
      <c r="T266" s="63">
        <v>0</v>
      </c>
      <c r="U266" s="63">
        <v>0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63">
        <v>0</v>
      </c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63">
        <v>0</v>
      </c>
      <c r="AH266" s="63">
        <v>0</v>
      </c>
      <c r="AI266" s="63">
        <v>0</v>
      </c>
      <c r="AJ266" s="64">
        <f t="shared" si="50"/>
        <v>0</v>
      </c>
    </row>
    <row r="267" spans="1:36" s="301" customFormat="1" ht="15.75">
      <c r="A267" s="295">
        <v>262</v>
      </c>
      <c r="B267" s="296" t="s">
        <v>316</v>
      </c>
      <c r="C267" s="307">
        <v>1976</v>
      </c>
      <c r="D267" s="306">
        <v>1</v>
      </c>
      <c r="E267" s="306">
        <v>2</v>
      </c>
      <c r="F267" s="306">
        <v>50.2</v>
      </c>
      <c r="G267" s="307">
        <v>0</v>
      </c>
      <c r="H267" s="306">
        <v>50.2</v>
      </c>
      <c r="I267" s="306"/>
      <c r="J267" s="306">
        <v>32.6</v>
      </c>
      <c r="K267" s="190">
        <v>1</v>
      </c>
      <c r="L267" s="190">
        <v>5.08</v>
      </c>
      <c r="M267" s="297">
        <f t="shared" si="48"/>
        <v>255.01600000000002</v>
      </c>
      <c r="N267" s="297">
        <f t="shared" si="41"/>
        <v>3060.192</v>
      </c>
      <c r="O267" s="298">
        <f t="shared" si="49"/>
        <v>2917.893072</v>
      </c>
      <c r="P267" s="102">
        <v>0</v>
      </c>
      <c r="Q267" s="101">
        <v>0</v>
      </c>
      <c r="R267" s="101">
        <v>0</v>
      </c>
      <c r="S267" s="101">
        <v>0</v>
      </c>
      <c r="T267" s="101">
        <v>0</v>
      </c>
      <c r="U267" s="101">
        <v>0</v>
      </c>
      <c r="V267" s="101">
        <v>0</v>
      </c>
      <c r="W267" s="101">
        <v>0</v>
      </c>
      <c r="X267" s="101">
        <v>0</v>
      </c>
      <c r="Y267" s="101">
        <v>0</v>
      </c>
      <c r="Z267" s="101">
        <v>0</v>
      </c>
      <c r="AA267" s="101">
        <v>0</v>
      </c>
      <c r="AB267" s="101">
        <v>0</v>
      </c>
      <c r="AC267" s="101">
        <v>0</v>
      </c>
      <c r="AD267" s="101">
        <v>0</v>
      </c>
      <c r="AE267" s="101">
        <v>0</v>
      </c>
      <c r="AF267" s="101">
        <v>0</v>
      </c>
      <c r="AG267" s="101">
        <v>0</v>
      </c>
      <c r="AH267" s="101">
        <v>0</v>
      </c>
      <c r="AI267" s="101">
        <v>0</v>
      </c>
      <c r="AJ267" s="302">
        <f t="shared" si="50"/>
        <v>0</v>
      </c>
    </row>
    <row r="268" spans="1:39" ht="15.75">
      <c r="A268" s="12">
        <v>263</v>
      </c>
      <c r="B268" s="13" t="s">
        <v>317</v>
      </c>
      <c r="C268" s="14">
        <v>1974</v>
      </c>
      <c r="D268" s="14">
        <v>5</v>
      </c>
      <c r="E268" s="14">
        <v>99</v>
      </c>
      <c r="F268" s="14">
        <v>4505.1</v>
      </c>
      <c r="G268" s="8">
        <v>51.2</v>
      </c>
      <c r="H268" s="14">
        <v>4453.9</v>
      </c>
      <c r="I268" s="14"/>
      <c r="J268" s="14">
        <v>2996.6</v>
      </c>
      <c r="K268" s="10">
        <v>6</v>
      </c>
      <c r="L268" s="10">
        <v>5.08</v>
      </c>
      <c r="M268" s="16">
        <f t="shared" si="48"/>
        <v>22625.811999999998</v>
      </c>
      <c r="N268" s="16">
        <f t="shared" si="41"/>
        <v>271509.74399999995</v>
      </c>
      <c r="O268" s="17">
        <f t="shared" si="49"/>
        <v>258884.54090399996</v>
      </c>
      <c r="P268" s="103">
        <f>9.063+2.972</f>
        <v>12.035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279">
        <v>9.55</v>
      </c>
      <c r="Y268" s="107">
        <v>4.848</v>
      </c>
      <c r="Z268" s="18">
        <v>0</v>
      </c>
      <c r="AA268" s="110">
        <v>6.414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91">
        <f t="shared" si="50"/>
        <v>32.847</v>
      </c>
      <c r="AK268" s="5">
        <f aca="true" t="shared" si="51" ref="AK268:AK276">4963963*F268/653667.1</f>
        <v>34211.83307420552</v>
      </c>
      <c r="AL268" s="5">
        <f aca="true" t="shared" si="52" ref="AL268:AL276">3362538*F268/653567.1</f>
        <v>23178.293313418013</v>
      </c>
      <c r="AM268" s="5">
        <f aca="true" t="shared" si="53" ref="AM268:AM276">218982*F268/653567.1</f>
        <v>1509.4636927103584</v>
      </c>
    </row>
    <row r="269" spans="1:39" ht="15.75">
      <c r="A269" s="12">
        <v>264</v>
      </c>
      <c r="B269" s="13" t="s">
        <v>318</v>
      </c>
      <c r="C269" s="14">
        <v>1977</v>
      </c>
      <c r="D269" s="14">
        <v>5</v>
      </c>
      <c r="E269" s="14">
        <v>89</v>
      </c>
      <c r="F269" s="14">
        <v>4902.7</v>
      </c>
      <c r="G269" s="8">
        <v>0</v>
      </c>
      <c r="H269" s="14">
        <v>4902.7</v>
      </c>
      <c r="I269" s="14"/>
      <c r="J269" s="14">
        <v>2847.2</v>
      </c>
      <c r="K269" s="10">
        <v>6</v>
      </c>
      <c r="L269" s="10">
        <v>5.08</v>
      </c>
      <c r="M269" s="16">
        <f t="shared" si="48"/>
        <v>24905.716</v>
      </c>
      <c r="N269" s="16">
        <f t="shared" si="41"/>
        <v>298868.592</v>
      </c>
      <c r="O269" s="17">
        <f t="shared" si="49"/>
        <v>284971.20247200003</v>
      </c>
      <c r="P269" s="103">
        <f>26.583+20.273</f>
        <v>46.855999999999995</v>
      </c>
      <c r="Q269" s="142">
        <v>5.028</v>
      </c>
      <c r="R269" s="184">
        <v>49.761</v>
      </c>
      <c r="S269" s="97">
        <f>1.611+2.967</f>
        <v>4.578</v>
      </c>
      <c r="T269" s="99">
        <f>116.84+119.605+62.691+62.679+5.956</f>
        <v>367.77099999999996</v>
      </c>
      <c r="U269" s="18">
        <v>0</v>
      </c>
      <c r="V269" s="18">
        <v>0</v>
      </c>
      <c r="W269" s="18">
        <v>0</v>
      </c>
      <c r="X269" s="18">
        <v>0</v>
      </c>
      <c r="Y269" s="107">
        <v>1.218</v>
      </c>
      <c r="Z269" s="18">
        <v>0</v>
      </c>
      <c r="AA269" s="110">
        <v>13.806</v>
      </c>
      <c r="AB269" s="185">
        <f>11.565+1.924</f>
        <v>13.488999999999999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91">
        <f t="shared" si="50"/>
        <v>502.50699999999995</v>
      </c>
      <c r="AK269" s="5">
        <f t="shared" si="51"/>
        <v>37231.21662402774</v>
      </c>
      <c r="AL269" s="5">
        <f t="shared" si="52"/>
        <v>25223.90593498357</v>
      </c>
      <c r="AM269" s="5">
        <f t="shared" si="53"/>
        <v>1642.6822148789313</v>
      </c>
    </row>
    <row r="270" spans="1:39" ht="15.75">
      <c r="A270" s="12">
        <v>265</v>
      </c>
      <c r="B270" s="13" t="s">
        <v>319</v>
      </c>
      <c r="C270" s="14">
        <v>1977</v>
      </c>
      <c r="D270" s="14">
        <v>5</v>
      </c>
      <c r="E270" s="14">
        <v>90</v>
      </c>
      <c r="F270" s="14">
        <v>4891.4</v>
      </c>
      <c r="G270" s="8">
        <v>0</v>
      </c>
      <c r="H270" s="14">
        <v>4891.4</v>
      </c>
      <c r="I270" s="14"/>
      <c r="J270" s="14">
        <v>2804.9</v>
      </c>
      <c r="K270" s="10">
        <v>6</v>
      </c>
      <c r="L270" s="10">
        <v>5.08</v>
      </c>
      <c r="M270" s="16">
        <f t="shared" si="48"/>
        <v>24848.311999999998</v>
      </c>
      <c r="N270" s="16">
        <f t="shared" si="41"/>
        <v>298179.74399999995</v>
      </c>
      <c r="O270" s="17">
        <f t="shared" si="49"/>
        <v>284314.38590399997</v>
      </c>
      <c r="P270" s="103">
        <f>5.043+1.876</f>
        <v>6.9190000000000005</v>
      </c>
      <c r="Q270" s="18">
        <v>0</v>
      </c>
      <c r="R270" s="184">
        <f>27.557+35.473</f>
        <v>63.03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07">
        <v>1.944</v>
      </c>
      <c r="Z270" s="18">
        <v>0</v>
      </c>
      <c r="AA270" s="110">
        <v>15.368</v>
      </c>
      <c r="AB270" s="18">
        <v>0</v>
      </c>
      <c r="AC270" s="186">
        <f>2.3196+24.1885</f>
        <v>26.508100000000002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91">
        <f t="shared" si="50"/>
        <v>113.7691</v>
      </c>
      <c r="AK270" s="5">
        <f t="shared" si="51"/>
        <v>37145.404163985</v>
      </c>
      <c r="AL270" s="5">
        <f t="shared" si="52"/>
        <v>25165.768554139275</v>
      </c>
      <c r="AM270" s="5">
        <f t="shared" si="53"/>
        <v>1638.8960747871183</v>
      </c>
    </row>
    <row r="271" spans="1:39" ht="15.75">
      <c r="A271" s="12">
        <v>266</v>
      </c>
      <c r="B271" s="13" t="s">
        <v>320</v>
      </c>
      <c r="C271" s="14" t="s">
        <v>203</v>
      </c>
      <c r="D271" s="14">
        <v>5</v>
      </c>
      <c r="E271" s="14">
        <v>80</v>
      </c>
      <c r="F271" s="14">
        <v>3564.9</v>
      </c>
      <c r="G271" s="8">
        <v>0</v>
      </c>
      <c r="H271" s="14">
        <v>3564.9</v>
      </c>
      <c r="I271" s="14"/>
      <c r="J271" s="14">
        <v>2455</v>
      </c>
      <c r="K271" s="10">
        <v>4</v>
      </c>
      <c r="L271" s="10">
        <v>5.08</v>
      </c>
      <c r="M271" s="16">
        <f t="shared" si="48"/>
        <v>18109.692</v>
      </c>
      <c r="N271" s="16">
        <f t="shared" si="41"/>
        <v>217316.304</v>
      </c>
      <c r="O271" s="17">
        <f t="shared" si="49"/>
        <v>207211.095864</v>
      </c>
      <c r="P271" s="103">
        <v>13.963</v>
      </c>
      <c r="Q271" s="18">
        <v>0</v>
      </c>
      <c r="R271" s="18">
        <v>0</v>
      </c>
      <c r="S271" s="97">
        <v>2.211</v>
      </c>
      <c r="T271" s="18">
        <v>0</v>
      </c>
      <c r="U271" s="96">
        <f>39.414+0.508+20.342</f>
        <v>60.264</v>
      </c>
      <c r="V271" s="104">
        <v>5.282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91">
        <f t="shared" si="50"/>
        <v>81.72</v>
      </c>
      <c r="AK271" s="5">
        <f t="shared" si="51"/>
        <v>27071.932637729515</v>
      </c>
      <c r="AL271" s="5">
        <f t="shared" si="52"/>
        <v>18341.057431134464</v>
      </c>
      <c r="AM271" s="5">
        <f t="shared" si="53"/>
        <v>1194.4434348056996</v>
      </c>
    </row>
    <row r="272" spans="1:39" ht="15.75">
      <c r="A272" s="12">
        <v>267</v>
      </c>
      <c r="B272" s="13" t="s">
        <v>321</v>
      </c>
      <c r="C272" s="14">
        <v>1972</v>
      </c>
      <c r="D272" s="14">
        <v>5</v>
      </c>
      <c r="E272" s="14">
        <v>119</v>
      </c>
      <c r="F272" s="14">
        <v>5789.6</v>
      </c>
      <c r="G272" s="8">
        <v>0</v>
      </c>
      <c r="H272" s="14">
        <v>5789.6</v>
      </c>
      <c r="I272" s="14"/>
      <c r="J272" s="14">
        <v>4025.7</v>
      </c>
      <c r="K272" s="10">
        <v>8</v>
      </c>
      <c r="L272" s="10">
        <v>5.08</v>
      </c>
      <c r="M272" s="16">
        <f t="shared" si="48"/>
        <v>29411.168</v>
      </c>
      <c r="N272" s="16">
        <f t="shared" si="41"/>
        <v>352934.016</v>
      </c>
      <c r="O272" s="17">
        <f t="shared" si="49"/>
        <v>336522.584256</v>
      </c>
      <c r="P272" s="103">
        <v>3.214</v>
      </c>
      <c r="Q272" s="18">
        <v>0</v>
      </c>
      <c r="R272" s="18">
        <v>0</v>
      </c>
      <c r="S272" s="97">
        <f>2.311+1.768+0.448</f>
        <v>4.527</v>
      </c>
      <c r="T272" s="18">
        <v>0</v>
      </c>
      <c r="U272" s="96">
        <f>12.079+0.996</f>
        <v>13.075000000000001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10">
        <v>5.289</v>
      </c>
      <c r="AB272" s="18">
        <v>0</v>
      </c>
      <c r="AC272" s="187">
        <v>0.274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91">
        <f t="shared" si="50"/>
        <v>26.379000000000005</v>
      </c>
      <c r="AK272" s="5">
        <f t="shared" si="51"/>
        <v>43966.355633930485</v>
      </c>
      <c r="AL272" s="5">
        <f t="shared" si="52"/>
        <v>29786.91859611661</v>
      </c>
      <c r="AM272" s="5">
        <f t="shared" si="53"/>
        <v>1939.8439535894634</v>
      </c>
    </row>
    <row r="273" spans="1:39" ht="15.75">
      <c r="A273" s="12">
        <v>268</v>
      </c>
      <c r="B273" s="13" t="s">
        <v>322</v>
      </c>
      <c r="C273" s="14">
        <v>1971</v>
      </c>
      <c r="D273" s="14">
        <v>5</v>
      </c>
      <c r="E273" s="14">
        <v>90</v>
      </c>
      <c r="F273" s="14">
        <v>4430.2</v>
      </c>
      <c r="G273" s="8">
        <v>0</v>
      </c>
      <c r="H273" s="14">
        <v>4430.2</v>
      </c>
      <c r="I273" s="14"/>
      <c r="J273" s="14">
        <v>3092.5</v>
      </c>
      <c r="K273" s="10">
        <v>6</v>
      </c>
      <c r="L273" s="10">
        <v>5.08</v>
      </c>
      <c r="M273" s="16">
        <f t="shared" si="48"/>
        <v>22505.416</v>
      </c>
      <c r="N273" s="16">
        <f>M273*$N$1</f>
        <v>270064.992</v>
      </c>
      <c r="O273" s="17">
        <f t="shared" si="49"/>
        <v>257506.96987200002</v>
      </c>
      <c r="P273" s="103">
        <v>5.575</v>
      </c>
      <c r="Q273" s="142">
        <v>35.196</v>
      </c>
      <c r="R273" s="18">
        <v>0</v>
      </c>
      <c r="S273" s="97">
        <f>5.378+2.311</f>
        <v>7.689</v>
      </c>
      <c r="T273" s="18">
        <v>0</v>
      </c>
      <c r="U273" s="18">
        <v>0</v>
      </c>
      <c r="V273" s="104">
        <f>0.695+3.829</f>
        <v>4.524</v>
      </c>
      <c r="W273" s="18">
        <v>0</v>
      </c>
      <c r="X273" s="18">
        <v>0</v>
      </c>
      <c r="Y273" s="18">
        <v>0</v>
      </c>
      <c r="Z273" s="18">
        <v>0</v>
      </c>
      <c r="AA273" s="110">
        <v>2.348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91">
        <f t="shared" si="50"/>
        <v>55.332</v>
      </c>
      <c r="AK273" s="5">
        <f t="shared" si="51"/>
        <v>33643.04075055942</v>
      </c>
      <c r="AL273" s="5">
        <f t="shared" si="52"/>
        <v>22792.94023153858</v>
      </c>
      <c r="AM273" s="5">
        <f t="shared" si="53"/>
        <v>1484.3679499778982</v>
      </c>
    </row>
    <row r="274" spans="1:39" ht="15.75">
      <c r="A274" s="32">
        <v>269</v>
      </c>
      <c r="B274" s="33" t="s">
        <v>323</v>
      </c>
      <c r="C274" s="34">
        <v>1967</v>
      </c>
      <c r="D274" s="34">
        <v>5</v>
      </c>
      <c r="E274" s="34">
        <v>80</v>
      </c>
      <c r="F274" s="34">
        <v>3540.2</v>
      </c>
      <c r="G274" s="35">
        <v>0</v>
      </c>
      <c r="H274" s="34">
        <v>3540.2</v>
      </c>
      <c r="I274" s="34"/>
      <c r="J274" s="34">
        <v>2442.2</v>
      </c>
      <c r="K274" s="36">
        <v>4</v>
      </c>
      <c r="L274" s="10">
        <v>5.08</v>
      </c>
      <c r="M274" s="16">
        <f t="shared" si="48"/>
        <v>17984.216</v>
      </c>
      <c r="N274" s="16">
        <f aca="true" t="shared" si="54" ref="N274:N281">L274*H274*12</f>
        <v>215810.592</v>
      </c>
      <c r="O274" s="17">
        <f t="shared" si="49"/>
        <v>205775.39947200002</v>
      </c>
      <c r="P274" s="77">
        <v>0</v>
      </c>
      <c r="Q274" s="18">
        <v>0</v>
      </c>
      <c r="R274" s="184">
        <v>8.16</v>
      </c>
      <c r="S274" s="97">
        <v>1.768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0.086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91">
        <f t="shared" si="50"/>
        <v>10.014000000000001</v>
      </c>
      <c r="AK274" s="5">
        <f t="shared" si="51"/>
        <v>26884.360269317516</v>
      </c>
      <c r="AL274" s="5">
        <f t="shared" si="52"/>
        <v>18213.978377430565</v>
      </c>
      <c r="AM274" s="5">
        <f t="shared" si="53"/>
        <v>1186.1675356669575</v>
      </c>
    </row>
    <row r="275" spans="1:39" ht="15.75">
      <c r="A275" s="12">
        <v>270</v>
      </c>
      <c r="B275" s="13" t="s">
        <v>324</v>
      </c>
      <c r="C275" s="14">
        <v>1971</v>
      </c>
      <c r="D275" s="14">
        <v>5</v>
      </c>
      <c r="E275" s="14">
        <v>60</v>
      </c>
      <c r="F275" s="14">
        <v>2693.4</v>
      </c>
      <c r="G275" s="8">
        <v>0</v>
      </c>
      <c r="H275" s="14">
        <v>2693.4</v>
      </c>
      <c r="I275" s="14"/>
      <c r="J275" s="14">
        <v>1853.3</v>
      </c>
      <c r="K275" s="10">
        <v>4</v>
      </c>
      <c r="L275" s="10">
        <v>5.08</v>
      </c>
      <c r="M275" s="16">
        <f t="shared" si="48"/>
        <v>13682.472</v>
      </c>
      <c r="N275" s="16">
        <f t="shared" si="54"/>
        <v>164189.664</v>
      </c>
      <c r="O275" s="17">
        <f t="shared" si="49"/>
        <v>156554.844624</v>
      </c>
      <c r="P275" s="103">
        <v>5.622</v>
      </c>
      <c r="Q275" s="18">
        <v>0</v>
      </c>
      <c r="R275" s="18">
        <v>0</v>
      </c>
      <c r="S275" s="97">
        <f>1.326+1.792</f>
        <v>3.1180000000000003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7">
        <f>0.292+0.292</f>
        <v>0.584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91">
        <f t="shared" si="50"/>
        <v>9.324</v>
      </c>
      <c r="AK275" s="5">
        <f t="shared" si="51"/>
        <v>20453.74158222129</v>
      </c>
      <c r="AL275" s="5">
        <f t="shared" si="52"/>
        <v>13857.276244780376</v>
      </c>
      <c r="AM275" s="5">
        <f t="shared" si="53"/>
        <v>902.4415684326829</v>
      </c>
    </row>
    <row r="276" spans="1:39" ht="15.75">
      <c r="A276" s="12">
        <v>271</v>
      </c>
      <c r="B276" s="13" t="s">
        <v>325</v>
      </c>
      <c r="C276" s="14">
        <v>1972</v>
      </c>
      <c r="D276" s="14">
        <v>5</v>
      </c>
      <c r="E276" s="14">
        <v>25</v>
      </c>
      <c r="F276" s="14">
        <v>1635.3</v>
      </c>
      <c r="G276" s="8">
        <v>276.9</v>
      </c>
      <c r="H276" s="14">
        <v>1342.5</v>
      </c>
      <c r="I276" s="14"/>
      <c r="J276" s="14">
        <v>767.4</v>
      </c>
      <c r="K276" s="10">
        <v>2</v>
      </c>
      <c r="L276" s="10">
        <v>5.08</v>
      </c>
      <c r="M276" s="16">
        <f t="shared" si="48"/>
        <v>6819.900000000001</v>
      </c>
      <c r="N276" s="16">
        <f t="shared" si="54"/>
        <v>81838.8</v>
      </c>
      <c r="O276" s="17">
        <f t="shared" si="49"/>
        <v>78033.2958</v>
      </c>
      <c r="P276" s="77">
        <v>0</v>
      </c>
      <c r="Q276" s="142">
        <v>4.413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91">
        <f t="shared" si="50"/>
        <v>4.413</v>
      </c>
      <c r="AK276" s="5">
        <f t="shared" si="51"/>
        <v>12418.505832556051</v>
      </c>
      <c r="AL276" s="5">
        <f t="shared" si="52"/>
        <v>8413.456539351506</v>
      </c>
      <c r="AM276" s="5">
        <f t="shared" si="53"/>
        <v>547.9181320479565</v>
      </c>
    </row>
    <row r="277" spans="1:36" s="93" customFormat="1" ht="15.75">
      <c r="A277" s="82">
        <v>272</v>
      </c>
      <c r="B277" s="83" t="s">
        <v>326</v>
      </c>
      <c r="C277" s="84" t="s">
        <v>30</v>
      </c>
      <c r="D277" s="84">
        <v>2</v>
      </c>
      <c r="E277" s="84">
        <v>10</v>
      </c>
      <c r="F277" s="84">
        <v>740.6</v>
      </c>
      <c r="G277" s="85">
        <v>0</v>
      </c>
      <c r="H277" s="84">
        <f>740.6-I277</f>
        <v>67.39999999999998</v>
      </c>
      <c r="I277" s="84">
        <f>405.54+267.66</f>
        <v>673.2</v>
      </c>
      <c r="J277" s="84">
        <v>515.9</v>
      </c>
      <c r="K277" s="87">
        <v>3</v>
      </c>
      <c r="L277" s="87">
        <v>5.08</v>
      </c>
      <c r="M277" s="88">
        <f t="shared" si="48"/>
        <v>342.3919999999999</v>
      </c>
      <c r="N277" s="88">
        <f t="shared" si="54"/>
        <v>4108.703999999999</v>
      </c>
      <c r="O277" s="89">
        <f t="shared" si="49"/>
        <v>3917.6492639999988</v>
      </c>
      <c r="P277" s="90">
        <v>0</v>
      </c>
      <c r="Q277" s="91">
        <v>0</v>
      </c>
      <c r="R277" s="91">
        <v>0</v>
      </c>
      <c r="S277" s="91">
        <v>0</v>
      </c>
      <c r="T277" s="91">
        <v>0</v>
      </c>
      <c r="U277" s="91">
        <v>0</v>
      </c>
      <c r="V277" s="91">
        <v>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91">
        <v>0</v>
      </c>
      <c r="AD277" s="91">
        <v>0</v>
      </c>
      <c r="AE277" s="91">
        <v>0</v>
      </c>
      <c r="AF277" s="91">
        <v>0</v>
      </c>
      <c r="AG277" s="91">
        <v>0</v>
      </c>
      <c r="AH277" s="91">
        <v>0</v>
      </c>
      <c r="AI277" s="91">
        <v>0</v>
      </c>
      <c r="AJ277" s="92">
        <f t="shared" si="50"/>
        <v>0</v>
      </c>
    </row>
    <row r="278" spans="1:39" ht="15.75">
      <c r="A278" s="12">
        <v>273</v>
      </c>
      <c r="B278" s="13" t="s">
        <v>327</v>
      </c>
      <c r="C278" s="14">
        <v>1971</v>
      </c>
      <c r="D278" s="14">
        <v>5</v>
      </c>
      <c r="E278" s="14">
        <v>92</v>
      </c>
      <c r="F278" s="14">
        <v>4718.1</v>
      </c>
      <c r="G278" s="8">
        <v>0</v>
      </c>
      <c r="H278" s="14">
        <v>4718.1</v>
      </c>
      <c r="I278" s="14"/>
      <c r="J278" s="14">
        <v>3164</v>
      </c>
      <c r="K278" s="10">
        <v>6</v>
      </c>
      <c r="L278" s="10">
        <v>5.08</v>
      </c>
      <c r="M278" s="16">
        <f t="shared" si="48"/>
        <v>23967.948000000004</v>
      </c>
      <c r="N278" s="16">
        <f>M278*$N$1</f>
        <v>287615.37600000005</v>
      </c>
      <c r="O278" s="17">
        <f t="shared" si="49"/>
        <v>274241.26101600006</v>
      </c>
      <c r="P278" s="103">
        <f>2.154+1.876</f>
        <v>4.029999999999999</v>
      </c>
      <c r="Q278" s="18">
        <v>0</v>
      </c>
      <c r="R278" s="18">
        <v>0</v>
      </c>
      <c r="S278" s="97">
        <f>2.311+1.741</f>
        <v>4.052</v>
      </c>
      <c r="T278" s="99">
        <f>120.99+120.99+120.99+3.61</f>
        <v>366.58</v>
      </c>
      <c r="U278" s="18">
        <v>0</v>
      </c>
      <c r="V278" s="18">
        <v>0</v>
      </c>
      <c r="W278" s="18">
        <v>0</v>
      </c>
      <c r="X278" s="278">
        <v>17.493</v>
      </c>
      <c r="Y278" s="18">
        <v>0</v>
      </c>
      <c r="Z278" s="18">
        <v>0</v>
      </c>
      <c r="AA278" s="108">
        <v>11.001</v>
      </c>
      <c r="AB278" s="18">
        <v>0</v>
      </c>
      <c r="AC278" s="187">
        <f>11.015+9.986+3.342</f>
        <v>24.343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91">
        <f t="shared" si="50"/>
        <v>427.49899999999997</v>
      </c>
      <c r="AK278" s="5">
        <f>4963963*F278/653667.1</f>
        <v>35829.35997589599</v>
      </c>
      <c r="AL278" s="5">
        <f>3362538*F278/653567.1</f>
        <v>24274.157217828135</v>
      </c>
      <c r="AM278" s="5">
        <f>218982*F278/653567.1</f>
        <v>1580.8307581578083</v>
      </c>
    </row>
    <row r="279" spans="1:39" ht="15.75">
      <c r="A279" s="12">
        <v>274</v>
      </c>
      <c r="B279" s="13" t="s">
        <v>328</v>
      </c>
      <c r="C279" s="14">
        <v>1972</v>
      </c>
      <c r="D279" s="14">
        <v>5</v>
      </c>
      <c r="E279" s="14">
        <v>66</v>
      </c>
      <c r="F279" s="14">
        <v>3355.2</v>
      </c>
      <c r="G279" s="8">
        <v>0</v>
      </c>
      <c r="H279" s="14">
        <v>3355.2</v>
      </c>
      <c r="I279" s="14"/>
      <c r="J279" s="14">
        <v>2218.5</v>
      </c>
      <c r="K279" s="10">
        <v>4</v>
      </c>
      <c r="L279" s="10">
        <v>5.08</v>
      </c>
      <c r="M279" s="16">
        <f t="shared" si="48"/>
        <v>17044.416</v>
      </c>
      <c r="N279" s="16">
        <f t="shared" si="54"/>
        <v>204532.99200000003</v>
      </c>
      <c r="O279" s="17">
        <f t="shared" si="49"/>
        <v>195022.20787200003</v>
      </c>
      <c r="P279" s="77">
        <v>0</v>
      </c>
      <c r="Q279" s="142">
        <v>9.26</v>
      </c>
      <c r="R279" s="18">
        <v>0</v>
      </c>
      <c r="S279" s="97">
        <v>1.741</v>
      </c>
      <c r="T279" s="99">
        <f>262.779</f>
        <v>262.779</v>
      </c>
      <c r="U279" s="96">
        <f>1.021</f>
        <v>1.021</v>
      </c>
      <c r="V279" s="18">
        <v>0</v>
      </c>
      <c r="W279" s="18">
        <v>0</v>
      </c>
      <c r="X279" s="278">
        <v>17.493</v>
      </c>
      <c r="Y279" s="107">
        <v>1.616</v>
      </c>
      <c r="Z279" s="18">
        <v>0</v>
      </c>
      <c r="AA279" s="108">
        <v>2.348</v>
      </c>
      <c r="AB279" s="18">
        <v>0</v>
      </c>
      <c r="AC279" s="187">
        <v>17.693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91">
        <f t="shared" si="50"/>
        <v>313.95099999999996</v>
      </c>
      <c r="AK279" s="5">
        <f>4963963*F279/653667.1</f>
        <v>25479.466011980716</v>
      </c>
      <c r="AL279" s="5">
        <f>3362538*F279/653567.1</f>
        <v>17262.171699891256</v>
      </c>
      <c r="AM279" s="5">
        <f>218982*F279/653567.1</f>
        <v>1124.1820562877172</v>
      </c>
    </row>
    <row r="280" spans="1:39" ht="15.75">
      <c r="A280" s="12">
        <v>275</v>
      </c>
      <c r="B280" s="13" t="s">
        <v>329</v>
      </c>
      <c r="C280" s="14">
        <v>1976</v>
      </c>
      <c r="D280" s="14">
        <v>5</v>
      </c>
      <c r="E280" s="14">
        <v>76</v>
      </c>
      <c r="F280" s="14">
        <v>4706.3</v>
      </c>
      <c r="G280" s="8">
        <v>1213.7</v>
      </c>
      <c r="H280" s="14">
        <v>3472.4</v>
      </c>
      <c r="I280" s="14"/>
      <c r="J280" s="14">
        <v>2336.6</v>
      </c>
      <c r="K280" s="10">
        <v>5</v>
      </c>
      <c r="L280" s="10">
        <v>5.08</v>
      </c>
      <c r="M280" s="16">
        <f t="shared" si="48"/>
        <v>17639.792</v>
      </c>
      <c r="N280" s="16">
        <f t="shared" si="54"/>
        <v>211677.50400000002</v>
      </c>
      <c r="O280" s="17">
        <f t="shared" si="49"/>
        <v>201834.50006400002</v>
      </c>
      <c r="P280" s="103">
        <f>1.376+5.764</f>
        <v>7.140000000000001</v>
      </c>
      <c r="Q280" s="18">
        <v>0</v>
      </c>
      <c r="R280" s="18">
        <v>0</v>
      </c>
      <c r="S280" s="97">
        <v>0.884</v>
      </c>
      <c r="T280" s="100">
        <v>13.683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08">
        <v>0.183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91">
        <f t="shared" si="50"/>
        <v>21.89</v>
      </c>
      <c r="AK280" s="5">
        <f>4963963*F280/653667.1</f>
        <v>35739.75050434694</v>
      </c>
      <c r="AL280" s="5">
        <f>3362538*F280/653567.1</f>
        <v>24213.447386504005</v>
      </c>
      <c r="AM280" s="5">
        <f>218982*F280/653567.1</f>
        <v>1576.8770897433485</v>
      </c>
    </row>
    <row r="281" spans="1:39" ht="16.5" thickBot="1">
      <c r="A281" s="32">
        <v>276</v>
      </c>
      <c r="B281" s="33" t="s">
        <v>330</v>
      </c>
      <c r="C281" s="34">
        <v>1961</v>
      </c>
      <c r="D281" s="34">
        <v>3</v>
      </c>
      <c r="E281" s="34">
        <v>18</v>
      </c>
      <c r="F281" s="34">
        <v>764.4</v>
      </c>
      <c r="G281" s="35">
        <v>0</v>
      </c>
      <c r="H281" s="34">
        <v>764.4</v>
      </c>
      <c r="I281" s="34"/>
      <c r="J281" s="34">
        <v>508.5</v>
      </c>
      <c r="K281" s="36">
        <v>2</v>
      </c>
      <c r="L281" s="36">
        <v>5.08</v>
      </c>
      <c r="M281" s="247">
        <f t="shared" si="48"/>
        <v>3883.152</v>
      </c>
      <c r="N281" s="247">
        <f t="shared" si="54"/>
        <v>46597.824</v>
      </c>
      <c r="O281" s="248">
        <f t="shared" si="49"/>
        <v>44431.025184</v>
      </c>
      <c r="P281" s="249">
        <v>0</v>
      </c>
      <c r="Q281" s="250">
        <v>13.113</v>
      </c>
      <c r="R281" s="251">
        <v>0</v>
      </c>
      <c r="S281" s="252">
        <v>2.786</v>
      </c>
      <c r="T281" s="251">
        <v>0</v>
      </c>
      <c r="U281" s="251">
        <v>0</v>
      </c>
      <c r="V281" s="251">
        <f>0.815</f>
        <v>0.815</v>
      </c>
      <c r="W281" s="251">
        <v>0</v>
      </c>
      <c r="X281" s="251">
        <v>0</v>
      </c>
      <c r="Y281" s="253">
        <v>7.502</v>
      </c>
      <c r="Z281" s="251">
        <v>0</v>
      </c>
      <c r="AA281" s="251">
        <v>0</v>
      </c>
      <c r="AB281" s="251">
        <v>0</v>
      </c>
      <c r="AC281" s="251">
        <v>0</v>
      </c>
      <c r="AD281" s="251">
        <v>0</v>
      </c>
      <c r="AE281" s="251">
        <v>0</v>
      </c>
      <c r="AF281" s="251">
        <v>0</v>
      </c>
      <c r="AG281" s="251">
        <v>0</v>
      </c>
      <c r="AH281" s="251">
        <v>0</v>
      </c>
      <c r="AI281" s="251">
        <v>0</v>
      </c>
      <c r="AJ281" s="254">
        <f t="shared" si="50"/>
        <v>24.215999999999998</v>
      </c>
      <c r="AK281" s="5">
        <f>4963963*F281/653667.1</f>
        <v>5804.871190855406</v>
      </c>
      <c r="AL281" s="5">
        <f>3362538*F281/653567.1</f>
        <v>3932.762293573223</v>
      </c>
      <c r="AM281" s="5">
        <f>218982*F281/653567.1</f>
        <v>256.1172996621158</v>
      </c>
    </row>
    <row r="282" spans="1:39" ht="15.75">
      <c r="A282" s="329" t="s">
        <v>331</v>
      </c>
      <c r="B282" s="330"/>
      <c r="C282" s="255"/>
      <c r="D282" s="256"/>
      <c r="E282" s="257">
        <f aca="true" t="shared" si="55" ref="E282:AJ282">SUM(E5:E281)</f>
        <v>12976</v>
      </c>
      <c r="F282" s="257">
        <f t="shared" si="55"/>
        <v>679162.71</v>
      </c>
      <c r="G282" s="257">
        <f t="shared" si="55"/>
        <v>33266.10000000002</v>
      </c>
      <c r="H282" s="257">
        <f t="shared" si="55"/>
        <v>630623.2999999999</v>
      </c>
      <c r="I282" s="257">
        <f t="shared" si="55"/>
        <v>10331.83</v>
      </c>
      <c r="J282" s="257">
        <f t="shared" si="55"/>
        <v>406067.3000000001</v>
      </c>
      <c r="K282" s="257">
        <f t="shared" si="55"/>
        <v>839</v>
      </c>
      <c r="L282" s="258"/>
      <c r="M282" s="259">
        <f t="shared" si="55"/>
        <v>3203566.363999998</v>
      </c>
      <c r="N282" s="259">
        <f t="shared" si="55"/>
        <v>38442796.367999986</v>
      </c>
      <c r="O282" s="259">
        <f t="shared" si="55"/>
        <v>36655206.33688801</v>
      </c>
      <c r="P282" s="283">
        <f>SUM(P5:P281)+43.931</f>
        <v>2344.7010000000005</v>
      </c>
      <c r="Q282" s="289">
        <f t="shared" si="55"/>
        <v>732.3960000000002</v>
      </c>
      <c r="R282" s="288">
        <f t="shared" si="55"/>
        <v>1718.1419999999998</v>
      </c>
      <c r="S282" s="290">
        <f t="shared" si="55"/>
        <v>652.3548000000002</v>
      </c>
      <c r="T282" s="284">
        <f t="shared" si="55"/>
        <v>10319.102</v>
      </c>
      <c r="U282" s="261">
        <f>SUM(U5:U281)</f>
        <v>1047.62167</v>
      </c>
      <c r="V282" s="285">
        <f>SUM(V5:V281)+0.036</f>
        <v>222.36499999999987</v>
      </c>
      <c r="W282" s="260">
        <f t="shared" si="55"/>
        <v>0</v>
      </c>
      <c r="X282" s="282">
        <f t="shared" si="55"/>
        <v>1447.1769999999997</v>
      </c>
      <c r="Y282" s="287">
        <f>SUM(Y5:Y281)+5.541</f>
        <v>628.8049999999996</v>
      </c>
      <c r="Z282" s="286">
        <f>SUM(Z5:Z281)+10.764</f>
        <v>741.2233000000001</v>
      </c>
      <c r="AA282" s="289">
        <f>SUM(AA5:AA281)+15.174</f>
        <v>1283.5389999999998</v>
      </c>
      <c r="AB282" s="291">
        <f t="shared" si="55"/>
        <v>589.7637</v>
      </c>
      <c r="AC282" s="292">
        <f t="shared" si="55"/>
        <v>838.132915</v>
      </c>
      <c r="AD282" s="293">
        <f t="shared" si="55"/>
        <v>5.7973</v>
      </c>
      <c r="AE282" s="260">
        <f t="shared" si="55"/>
        <v>0</v>
      </c>
      <c r="AF282" s="260">
        <f t="shared" si="55"/>
        <v>0</v>
      </c>
      <c r="AG282" s="260">
        <f t="shared" si="55"/>
        <v>0</v>
      </c>
      <c r="AH282" s="260">
        <f t="shared" si="55"/>
        <v>0</v>
      </c>
      <c r="AI282" s="260">
        <f t="shared" si="55"/>
        <v>0</v>
      </c>
      <c r="AJ282" s="262">
        <f t="shared" si="55"/>
        <v>22495.67468500001</v>
      </c>
      <c r="AK282" s="5">
        <f>SUBTOTAL(9,AK5:AK281)</f>
        <v>4963962.594058334</v>
      </c>
      <c r="AL282" s="5">
        <f>SUBTOTAL(9,AL5:AL281)</f>
        <v>3362538.0022430383</v>
      </c>
      <c r="AM282" s="5">
        <f>SUBTOTAL(9,AM5:AM281)</f>
        <v>218982.00020094856</v>
      </c>
    </row>
    <row r="283" spans="1:36" ht="15.75" hidden="1">
      <c r="A283" s="263"/>
      <c r="B283" s="11"/>
      <c r="C283" s="11"/>
      <c r="D283" s="39"/>
      <c r="E283" s="39"/>
      <c r="F283" s="39"/>
      <c r="G283" s="39"/>
      <c r="H283" s="39"/>
      <c r="I283" s="39"/>
      <c r="J283" s="39"/>
      <c r="K283" s="11"/>
      <c r="L283" s="11"/>
      <c r="M283" s="11"/>
      <c r="N283" s="11"/>
      <c r="O283" s="11"/>
      <c r="P283" s="76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264"/>
    </row>
    <row r="284" spans="1:36" ht="15.75" hidden="1">
      <c r="A284" s="263"/>
      <c r="B284" s="11"/>
      <c r="C284" s="11"/>
      <c r="D284" s="39"/>
      <c r="E284" s="39"/>
      <c r="F284" s="39"/>
      <c r="G284" s="39"/>
      <c r="H284" s="39"/>
      <c r="I284" s="39"/>
      <c r="J284" s="39"/>
      <c r="K284" s="11"/>
      <c r="L284" s="11"/>
      <c r="M284" s="11"/>
      <c r="N284" s="11"/>
      <c r="O284" s="11"/>
      <c r="P284" s="76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264"/>
    </row>
    <row r="285" spans="1:36" ht="15.75" hidden="1">
      <c r="A285" s="263"/>
      <c r="B285" s="11"/>
      <c r="C285" s="11"/>
      <c r="D285" s="39"/>
      <c r="E285" s="39"/>
      <c r="F285" s="39"/>
      <c r="G285" s="39"/>
      <c r="H285" s="39"/>
      <c r="I285" s="39"/>
      <c r="J285" s="39"/>
      <c r="K285" s="11"/>
      <c r="L285" s="11"/>
      <c r="M285" s="11"/>
      <c r="N285" s="11"/>
      <c r="O285" s="11"/>
      <c r="P285" s="76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264"/>
    </row>
    <row r="286" spans="1:36" ht="15.75" hidden="1">
      <c r="A286" s="265"/>
      <c r="B286" s="10"/>
      <c r="C286" s="11"/>
      <c r="D286" s="39"/>
      <c r="E286" s="39"/>
      <c r="F286" s="39"/>
      <c r="G286" s="39"/>
      <c r="H286" s="39"/>
      <c r="I286" s="39"/>
      <c r="J286" s="266">
        <v>12825</v>
      </c>
      <c r="K286" s="11"/>
      <c r="L286" s="11"/>
      <c r="M286" s="11"/>
      <c r="N286" s="11"/>
      <c r="O286" s="11"/>
      <c r="P286" s="76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264"/>
    </row>
    <row r="287" spans="1:36" s="42" customFormat="1" ht="63" hidden="1">
      <c r="A287" s="265">
        <v>1</v>
      </c>
      <c r="B287" s="267"/>
      <c r="C287" s="20" t="s">
        <v>2</v>
      </c>
      <c r="D287" s="43" t="s">
        <v>3</v>
      </c>
      <c r="E287" s="43" t="s">
        <v>4</v>
      </c>
      <c r="F287" s="43" t="s">
        <v>332</v>
      </c>
      <c r="G287" s="43"/>
      <c r="H287" s="43"/>
      <c r="I287" s="43"/>
      <c r="J287" s="43"/>
      <c r="K287" s="20" t="s">
        <v>333</v>
      </c>
      <c r="L287" s="267"/>
      <c r="M287" s="267"/>
      <c r="N287" s="267"/>
      <c r="O287" s="267"/>
      <c r="P287" s="268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9"/>
    </row>
    <row r="288" spans="1:36" ht="15.75" hidden="1">
      <c r="A288" s="265">
        <v>2</v>
      </c>
      <c r="B288" s="11"/>
      <c r="C288" s="10"/>
      <c r="D288" s="21"/>
      <c r="E288" s="21"/>
      <c r="F288" s="21" t="s">
        <v>334</v>
      </c>
      <c r="G288" s="21"/>
      <c r="H288" s="21"/>
      <c r="I288" s="21"/>
      <c r="J288" s="21"/>
      <c r="K288" s="10"/>
      <c r="L288" s="11"/>
      <c r="M288" s="11"/>
      <c r="N288" s="11"/>
      <c r="O288" s="11"/>
      <c r="P288" s="76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264"/>
    </row>
    <row r="289" spans="1:36" ht="15.75" hidden="1">
      <c r="A289" s="265">
        <v>3</v>
      </c>
      <c r="B289" s="23" t="s">
        <v>335</v>
      </c>
      <c r="C289" s="10">
        <v>1961</v>
      </c>
      <c r="D289" s="21">
        <v>1</v>
      </c>
      <c r="E289" s="21">
        <v>1</v>
      </c>
      <c r="F289" s="21">
        <v>48.23</v>
      </c>
      <c r="G289" s="21" t="s">
        <v>336</v>
      </c>
      <c r="H289" s="21"/>
      <c r="I289" s="21"/>
      <c r="J289" s="21"/>
      <c r="K289" s="20">
        <v>1</v>
      </c>
      <c r="L289" s="11"/>
      <c r="M289" s="11"/>
      <c r="N289" s="11"/>
      <c r="O289" s="11"/>
      <c r="P289" s="76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264"/>
    </row>
    <row r="290" spans="1:36" ht="15.75" hidden="1">
      <c r="A290" s="265">
        <v>4</v>
      </c>
      <c r="B290" s="23" t="s">
        <v>337</v>
      </c>
      <c r="C290" s="10">
        <v>1969</v>
      </c>
      <c r="D290" s="21">
        <v>1</v>
      </c>
      <c r="E290" s="21">
        <v>1</v>
      </c>
      <c r="F290" s="21">
        <v>57.7</v>
      </c>
      <c r="G290" s="21" t="s">
        <v>336</v>
      </c>
      <c r="H290" s="21"/>
      <c r="I290" s="21"/>
      <c r="J290" s="21"/>
      <c r="K290" s="10">
        <v>1</v>
      </c>
      <c r="L290" s="11"/>
      <c r="M290" s="11"/>
      <c r="N290" s="11"/>
      <c r="O290" s="11"/>
      <c r="P290" s="76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264"/>
    </row>
    <row r="291" spans="1:36" ht="15.75" hidden="1">
      <c r="A291" s="265">
        <v>5</v>
      </c>
      <c r="B291" s="23" t="s">
        <v>338</v>
      </c>
      <c r="C291" s="10">
        <v>1957</v>
      </c>
      <c r="D291" s="21">
        <v>1</v>
      </c>
      <c r="E291" s="21">
        <v>1</v>
      </c>
      <c r="F291" s="21">
        <v>46.5</v>
      </c>
      <c r="G291" s="21"/>
      <c r="H291" s="21"/>
      <c r="I291" s="21"/>
      <c r="J291" s="21"/>
      <c r="K291" s="10">
        <v>1</v>
      </c>
      <c r="L291" s="11"/>
      <c r="M291" s="11"/>
      <c r="N291" s="11"/>
      <c r="O291" s="11"/>
      <c r="P291" s="76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264"/>
    </row>
    <row r="292" spans="1:36" ht="15.75" hidden="1">
      <c r="A292" s="265">
        <v>6</v>
      </c>
      <c r="B292" s="23" t="s">
        <v>339</v>
      </c>
      <c r="C292" s="10">
        <v>1957</v>
      </c>
      <c r="D292" s="21">
        <v>1</v>
      </c>
      <c r="E292" s="21">
        <v>1</v>
      </c>
      <c r="F292" s="21">
        <v>103.6</v>
      </c>
      <c r="G292" s="21" t="s">
        <v>336</v>
      </c>
      <c r="H292" s="21"/>
      <c r="I292" s="21"/>
      <c r="J292" s="21"/>
      <c r="K292" s="10">
        <v>1</v>
      </c>
      <c r="L292" s="11"/>
      <c r="M292" s="11"/>
      <c r="N292" s="11"/>
      <c r="O292" s="11"/>
      <c r="P292" s="76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264"/>
    </row>
    <row r="293" spans="1:36" ht="15.75" hidden="1">
      <c r="A293" s="265">
        <v>7</v>
      </c>
      <c r="B293" s="23" t="s">
        <v>340</v>
      </c>
      <c r="C293" s="10">
        <v>1954</v>
      </c>
      <c r="D293" s="21">
        <v>1</v>
      </c>
      <c r="E293" s="21">
        <v>2</v>
      </c>
      <c r="F293" s="21">
        <v>90</v>
      </c>
      <c r="G293" s="21"/>
      <c r="H293" s="21"/>
      <c r="I293" s="21"/>
      <c r="J293" s="21"/>
      <c r="K293" s="10">
        <v>1</v>
      </c>
      <c r="L293" s="11"/>
      <c r="M293" s="11"/>
      <c r="N293" s="11"/>
      <c r="O293" s="11"/>
      <c r="P293" s="76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264"/>
    </row>
    <row r="294" spans="1:36" ht="15.75" hidden="1">
      <c r="A294" s="265">
        <v>8</v>
      </c>
      <c r="B294" s="23" t="s">
        <v>341</v>
      </c>
      <c r="C294" s="10" t="s">
        <v>131</v>
      </c>
      <c r="D294" s="21">
        <v>1</v>
      </c>
      <c r="E294" s="21">
        <v>1</v>
      </c>
      <c r="F294" s="21">
        <v>54.1</v>
      </c>
      <c r="G294" s="21"/>
      <c r="H294" s="21"/>
      <c r="I294" s="21"/>
      <c r="J294" s="21"/>
      <c r="K294" s="10">
        <v>1</v>
      </c>
      <c r="L294" s="11"/>
      <c r="M294" s="11"/>
      <c r="N294" s="11"/>
      <c r="O294" s="11"/>
      <c r="P294" s="76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264"/>
    </row>
    <row r="295" spans="1:36" ht="15.75" hidden="1">
      <c r="A295" s="265">
        <v>9</v>
      </c>
      <c r="B295" s="23" t="s">
        <v>342</v>
      </c>
      <c r="C295" s="10">
        <v>1917</v>
      </c>
      <c r="D295" s="21">
        <v>1</v>
      </c>
      <c r="E295" s="21">
        <v>1</v>
      </c>
      <c r="F295" s="21">
        <v>54.5</v>
      </c>
      <c r="G295" s="21"/>
      <c r="H295" s="21"/>
      <c r="I295" s="21"/>
      <c r="J295" s="21"/>
      <c r="K295" s="10">
        <v>1</v>
      </c>
      <c r="L295" s="11"/>
      <c r="M295" s="11"/>
      <c r="N295" s="11"/>
      <c r="O295" s="11"/>
      <c r="P295" s="76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264"/>
    </row>
    <row r="296" spans="1:36" ht="15.75" hidden="1">
      <c r="A296" s="265">
        <v>10</v>
      </c>
      <c r="B296" s="23" t="s">
        <v>343</v>
      </c>
      <c r="C296" s="10">
        <v>1917</v>
      </c>
      <c r="D296" s="21">
        <v>1</v>
      </c>
      <c r="E296" s="21">
        <v>1</v>
      </c>
      <c r="F296" s="21">
        <v>53.6</v>
      </c>
      <c r="G296" s="21"/>
      <c r="H296" s="21"/>
      <c r="I296" s="21"/>
      <c r="J296" s="21"/>
      <c r="K296" s="10">
        <v>1</v>
      </c>
      <c r="L296" s="11"/>
      <c r="M296" s="11"/>
      <c r="N296" s="11"/>
      <c r="O296" s="11"/>
      <c r="P296" s="76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264"/>
    </row>
    <row r="297" spans="1:36" ht="15.75" hidden="1">
      <c r="A297" s="265">
        <v>11</v>
      </c>
      <c r="B297" s="23" t="s">
        <v>344</v>
      </c>
      <c r="C297" s="10">
        <v>1952</v>
      </c>
      <c r="D297" s="21">
        <v>1</v>
      </c>
      <c r="E297" s="21">
        <v>1</v>
      </c>
      <c r="F297" s="21">
        <v>91.51</v>
      </c>
      <c r="G297" s="21" t="s">
        <v>336</v>
      </c>
      <c r="H297" s="21"/>
      <c r="I297" s="21"/>
      <c r="J297" s="21"/>
      <c r="K297" s="10">
        <v>1</v>
      </c>
      <c r="L297" s="11"/>
      <c r="M297" s="11"/>
      <c r="N297" s="11"/>
      <c r="O297" s="11"/>
      <c r="P297" s="76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264"/>
    </row>
    <row r="298" spans="1:36" ht="15.75" hidden="1">
      <c r="A298" s="265">
        <v>12</v>
      </c>
      <c r="B298" s="23" t="s">
        <v>345</v>
      </c>
      <c r="C298" s="10">
        <v>1950</v>
      </c>
      <c r="D298" s="21">
        <v>1</v>
      </c>
      <c r="E298" s="21">
        <v>1</v>
      </c>
      <c r="F298" s="21">
        <v>48.4</v>
      </c>
      <c r="G298" s="21"/>
      <c r="H298" s="21"/>
      <c r="I298" s="21"/>
      <c r="J298" s="21"/>
      <c r="K298" s="10">
        <v>1</v>
      </c>
      <c r="L298" s="11"/>
      <c r="M298" s="11"/>
      <c r="N298" s="11"/>
      <c r="O298" s="11"/>
      <c r="P298" s="76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264"/>
    </row>
    <row r="299" spans="1:36" ht="15.75" hidden="1">
      <c r="A299" s="265">
        <v>13</v>
      </c>
      <c r="B299" s="23" t="s">
        <v>346</v>
      </c>
      <c r="C299" s="10">
        <v>1951</v>
      </c>
      <c r="D299" s="21">
        <v>1</v>
      </c>
      <c r="E299" s="21">
        <v>1</v>
      </c>
      <c r="F299" s="21">
        <v>115.7</v>
      </c>
      <c r="G299" s="21"/>
      <c r="H299" s="21"/>
      <c r="I299" s="21"/>
      <c r="J299" s="21"/>
      <c r="K299" s="10">
        <v>1</v>
      </c>
      <c r="L299" s="11"/>
      <c r="M299" s="11"/>
      <c r="N299" s="11"/>
      <c r="O299" s="11"/>
      <c r="P299" s="76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264"/>
    </row>
    <row r="300" spans="1:36" ht="15.75" hidden="1">
      <c r="A300" s="265">
        <v>14</v>
      </c>
      <c r="B300" s="23" t="s">
        <v>347</v>
      </c>
      <c r="C300" s="10">
        <v>1950</v>
      </c>
      <c r="D300" s="21">
        <v>1</v>
      </c>
      <c r="E300" s="21">
        <v>1</v>
      </c>
      <c r="F300" s="21">
        <v>47.8</v>
      </c>
      <c r="G300" s="21"/>
      <c r="H300" s="21"/>
      <c r="I300" s="21"/>
      <c r="J300" s="21"/>
      <c r="K300" s="10">
        <v>1</v>
      </c>
      <c r="L300" s="11"/>
      <c r="M300" s="11"/>
      <c r="N300" s="11"/>
      <c r="O300" s="11"/>
      <c r="P300" s="76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264"/>
    </row>
    <row r="301" spans="1:36" ht="15.75" hidden="1">
      <c r="A301" s="265">
        <v>15</v>
      </c>
      <c r="B301" s="23" t="s">
        <v>348</v>
      </c>
      <c r="C301" s="10">
        <v>1962</v>
      </c>
      <c r="D301" s="21">
        <v>1</v>
      </c>
      <c r="E301" s="21">
        <v>4</v>
      </c>
      <c r="F301" s="21">
        <v>109</v>
      </c>
      <c r="G301" s="21" t="s">
        <v>336</v>
      </c>
      <c r="H301" s="21"/>
      <c r="I301" s="21"/>
      <c r="J301" s="21"/>
      <c r="K301" s="10">
        <v>1</v>
      </c>
      <c r="L301" s="11"/>
      <c r="M301" s="11"/>
      <c r="N301" s="11"/>
      <c r="O301" s="11"/>
      <c r="P301" s="76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264"/>
    </row>
    <row r="302" spans="1:36" ht="15.75" hidden="1">
      <c r="A302" s="265"/>
      <c r="B302" s="23" t="s">
        <v>349</v>
      </c>
      <c r="C302" s="10">
        <v>1892</v>
      </c>
      <c r="D302" s="21">
        <v>1</v>
      </c>
      <c r="E302" s="21">
        <v>1</v>
      </c>
      <c r="F302" s="21">
        <v>41</v>
      </c>
      <c r="G302" s="21"/>
      <c r="H302" s="21"/>
      <c r="I302" s="21"/>
      <c r="J302" s="21"/>
      <c r="K302" s="10">
        <v>1</v>
      </c>
      <c r="L302" s="11"/>
      <c r="M302" s="11"/>
      <c r="N302" s="11"/>
      <c r="O302" s="11"/>
      <c r="P302" s="76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264"/>
    </row>
    <row r="303" spans="1:36" ht="15.75" hidden="1">
      <c r="A303" s="263"/>
      <c r="B303" s="23" t="s">
        <v>350</v>
      </c>
      <c r="C303" s="10">
        <v>1917</v>
      </c>
      <c r="D303" s="21">
        <v>1</v>
      </c>
      <c r="E303" s="21">
        <v>2</v>
      </c>
      <c r="F303" s="21">
        <v>372.9</v>
      </c>
      <c r="G303" s="21"/>
      <c r="H303" s="21"/>
      <c r="I303" s="21"/>
      <c r="J303" s="21"/>
      <c r="K303" s="10">
        <v>1</v>
      </c>
      <c r="L303" s="11"/>
      <c r="M303" s="11"/>
      <c r="N303" s="11"/>
      <c r="O303" s="11"/>
      <c r="P303" s="76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264"/>
    </row>
    <row r="304" spans="1:36" ht="15.75" hidden="1">
      <c r="A304" s="263"/>
      <c r="B304" s="11"/>
      <c r="C304" s="10"/>
      <c r="D304" s="21"/>
      <c r="E304" s="21">
        <f>SUM(E289:E303)</f>
        <v>20</v>
      </c>
      <c r="F304" s="21">
        <f>SUM(F289:F303)</f>
        <v>1334.54</v>
      </c>
      <c r="G304" s="21"/>
      <c r="H304" s="21"/>
      <c r="I304" s="21"/>
      <c r="J304" s="21"/>
      <c r="K304" s="10">
        <f>SUM(K289:K303)</f>
        <v>15</v>
      </c>
      <c r="L304" s="11"/>
      <c r="M304" s="11"/>
      <c r="N304" s="11"/>
      <c r="O304" s="11"/>
      <c r="P304" s="76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264"/>
    </row>
    <row r="305" spans="1:36" ht="15.75" hidden="1">
      <c r="A305" s="263" t="s">
        <v>351</v>
      </c>
      <c r="B305" s="11"/>
      <c r="C305" s="11"/>
      <c r="D305" s="39"/>
      <c r="E305" s="39"/>
      <c r="F305" s="39"/>
      <c r="G305" s="39"/>
      <c r="H305" s="39"/>
      <c r="I305" s="39"/>
      <c r="J305" s="39"/>
      <c r="K305" s="11"/>
      <c r="L305" s="11"/>
      <c r="M305" s="11"/>
      <c r="N305" s="11"/>
      <c r="O305" s="11"/>
      <c r="P305" s="76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264"/>
    </row>
    <row r="306" spans="1:36" ht="15.75" hidden="1">
      <c r="A306" s="265">
        <v>1</v>
      </c>
      <c r="B306" s="10" t="s">
        <v>352</v>
      </c>
      <c r="C306" s="10">
        <v>1917</v>
      </c>
      <c r="D306" s="21">
        <v>4</v>
      </c>
      <c r="E306" s="21">
        <v>32</v>
      </c>
      <c r="F306" s="44">
        <v>2458.6</v>
      </c>
      <c r="G306" s="21"/>
      <c r="H306" s="44">
        <v>1770.8</v>
      </c>
      <c r="I306" s="44"/>
      <c r="J306" s="44">
        <v>1104.7</v>
      </c>
      <c r="K306" s="10">
        <v>3</v>
      </c>
      <c r="L306" s="11"/>
      <c r="M306" s="11"/>
      <c r="N306" s="11"/>
      <c r="O306" s="11"/>
      <c r="P306" s="76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264"/>
    </row>
    <row r="307" spans="1:36" ht="15.75" hidden="1">
      <c r="A307" s="263"/>
      <c r="B307" s="11" t="s">
        <v>360</v>
      </c>
      <c r="C307" s="11"/>
      <c r="D307" s="39"/>
      <c r="E307" s="39"/>
      <c r="F307" s="39"/>
      <c r="G307" s="39"/>
      <c r="H307" s="39"/>
      <c r="I307" s="39"/>
      <c r="J307" s="39"/>
      <c r="K307" s="11"/>
      <c r="L307" s="11"/>
      <c r="M307" s="11"/>
      <c r="N307" s="11"/>
      <c r="O307" s="11"/>
      <c r="P307" s="76">
        <f>33.452+3.247+7.232</f>
        <v>43.931</v>
      </c>
      <c r="Q307" s="11"/>
      <c r="R307" s="11"/>
      <c r="S307" s="11"/>
      <c r="T307" s="11"/>
      <c r="U307" s="11"/>
      <c r="V307" s="11"/>
      <c r="W307" s="11"/>
      <c r="X307" s="11"/>
      <c r="Y307" s="11">
        <v>5.541</v>
      </c>
      <c r="Z307" s="11">
        <v>10.764</v>
      </c>
      <c r="AA307" s="11">
        <v>15.174</v>
      </c>
      <c r="AB307" s="11"/>
      <c r="AC307" s="11"/>
      <c r="AD307" s="11"/>
      <c r="AE307" s="11"/>
      <c r="AF307" s="11"/>
      <c r="AG307" s="11"/>
      <c r="AH307" s="11"/>
      <c r="AI307" s="11"/>
      <c r="AJ307" s="264"/>
    </row>
    <row r="308" spans="1:36" ht="15.75" hidden="1">
      <c r="A308" s="263"/>
      <c r="B308" s="11"/>
      <c r="C308" s="11"/>
      <c r="D308" s="39"/>
      <c r="E308" s="39"/>
      <c r="F308" s="266"/>
      <c r="G308" s="39"/>
      <c r="H308" s="266"/>
      <c r="I308" s="266"/>
      <c r="J308" s="39"/>
      <c r="K308" s="37"/>
      <c r="L308" s="11"/>
      <c r="M308" s="11"/>
      <c r="N308" s="11"/>
      <c r="O308" s="11"/>
      <c r="P308" s="76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264"/>
    </row>
    <row r="309" spans="1:36" ht="15.75" hidden="1">
      <c r="A309" s="263"/>
      <c r="B309" s="11"/>
      <c r="C309" s="11"/>
      <c r="D309" s="39"/>
      <c r="E309" s="39"/>
      <c r="F309" s="39"/>
      <c r="G309" s="39"/>
      <c r="H309" s="39"/>
      <c r="I309" s="39"/>
      <c r="J309" s="39"/>
      <c r="K309" s="11"/>
      <c r="L309" s="11"/>
      <c r="M309" s="11"/>
      <c r="N309" s="11"/>
      <c r="O309" s="11"/>
      <c r="P309" s="76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264"/>
    </row>
    <row r="310" spans="1:36" ht="15.75" hidden="1">
      <c r="A310" s="270" t="s">
        <v>353</v>
      </c>
      <c r="B310" s="11"/>
      <c r="C310" s="11"/>
      <c r="D310" s="39"/>
      <c r="E310" s="39"/>
      <c r="F310" s="39"/>
      <c r="G310" s="39"/>
      <c r="H310" s="39"/>
      <c r="I310" s="39"/>
      <c r="J310" s="39"/>
      <c r="K310" s="11"/>
      <c r="L310" s="11"/>
      <c r="M310" s="11"/>
      <c r="N310" s="11"/>
      <c r="O310" s="11"/>
      <c r="P310" s="76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264"/>
    </row>
    <row r="311" spans="1:36" ht="15.75" hidden="1">
      <c r="A311" s="265">
        <f>A281+A301+A306</f>
        <v>292</v>
      </c>
      <c r="B311" s="10"/>
      <c r="C311" s="10"/>
      <c r="D311" s="21"/>
      <c r="E311" s="21">
        <f>E282+E304+E306</f>
        <v>13028</v>
      </c>
      <c r="F311" s="21">
        <f>F282+F304+F306</f>
        <v>682955.85</v>
      </c>
      <c r="G311" s="21">
        <f>G282+G304+G306</f>
        <v>33266.10000000002</v>
      </c>
      <c r="H311" s="44">
        <f>H282+F304+H306</f>
        <v>633728.64</v>
      </c>
      <c r="I311" s="44"/>
      <c r="J311" s="21">
        <f>J282+J304+J306</f>
        <v>407172.0000000001</v>
      </c>
      <c r="K311" s="37">
        <f>K306+K304+K282</f>
        <v>857</v>
      </c>
      <c r="L311" s="11"/>
      <c r="M311" s="11"/>
      <c r="N311" s="11"/>
      <c r="O311" s="11"/>
      <c r="P311" s="76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264"/>
    </row>
    <row r="312" spans="1:36" ht="15.75" hidden="1">
      <c r="A312" s="263"/>
      <c r="B312" s="11"/>
      <c r="C312" s="11"/>
      <c r="D312" s="39"/>
      <c r="E312" s="39"/>
      <c r="F312" s="39"/>
      <c r="G312" s="39"/>
      <c r="H312" s="39"/>
      <c r="I312" s="39"/>
      <c r="J312" s="39"/>
      <c r="K312" s="11"/>
      <c r="L312" s="11"/>
      <c r="M312" s="11"/>
      <c r="N312" s="11"/>
      <c r="O312" s="11"/>
      <c r="P312" s="76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264"/>
    </row>
    <row r="313" spans="1:36" ht="15.75" hidden="1">
      <c r="A313" s="263"/>
      <c r="B313" s="11"/>
      <c r="C313" s="11"/>
      <c r="D313" s="39"/>
      <c r="E313" s="39"/>
      <c r="F313" s="39"/>
      <c r="G313" s="39"/>
      <c r="H313" s="39"/>
      <c r="I313" s="39"/>
      <c r="J313" s="39"/>
      <c r="K313" s="11"/>
      <c r="L313" s="11"/>
      <c r="M313" s="11"/>
      <c r="N313" s="11"/>
      <c r="O313" s="11"/>
      <c r="P313" s="76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264"/>
    </row>
    <row r="314" spans="1:36" ht="15.75" hidden="1">
      <c r="A314" s="271"/>
      <c r="B314" s="112"/>
      <c r="C314" s="112"/>
      <c r="D314" s="134"/>
      <c r="E314" s="134"/>
      <c r="F314" s="134"/>
      <c r="G314" s="134"/>
      <c r="H314" s="134"/>
      <c r="I314" s="134"/>
      <c r="J314" s="134"/>
      <c r="K314" s="112"/>
      <c r="L314" s="112"/>
      <c r="M314" s="112"/>
      <c r="N314" s="112"/>
      <c r="O314" s="11"/>
      <c r="P314" s="119"/>
      <c r="Q314" s="112"/>
      <c r="R314" s="112"/>
      <c r="S314" s="120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264"/>
    </row>
    <row r="315" spans="1:36" ht="15.75" hidden="1">
      <c r="A315" s="325" t="s">
        <v>357</v>
      </c>
      <c r="B315" s="326"/>
      <c r="C315" s="131"/>
      <c r="D315" s="132"/>
      <c r="E315" s="132"/>
      <c r="F315" s="132"/>
      <c r="G315" s="132"/>
      <c r="H315" s="132"/>
      <c r="I315" s="132"/>
      <c r="J315" s="132"/>
      <c r="K315" s="131"/>
      <c r="L315" s="131"/>
      <c r="M315" s="131"/>
      <c r="N315" s="133"/>
      <c r="O315" s="136"/>
      <c r="P315" s="137">
        <v>3.392</v>
      </c>
      <c r="Q315" s="143"/>
      <c r="R315" s="189"/>
      <c r="S315" s="125">
        <f>0.04+0.136+0.315+0.182+0.164+0.28+0.021+0.2135+0.054+0.2593+0.296+0.023+0.016</f>
        <v>1.9998</v>
      </c>
      <c r="T315" s="127">
        <f>0.993+0.993+0.105+2.792+1.686+0.802+2.793+2.76+3.447+0.744+1.166+0.951+0.723+0.0618+0.035+0.045+0.006+0.205+0.608+0.124+0.045+0.04+0.007</f>
        <v>21.131800000000005</v>
      </c>
      <c r="U315" s="128">
        <f>0.0485+0.0851+0.135+0.241+0.221+0.337+0.107+0.411+0.1335+0.08+0.151+0.165</f>
        <v>2.1151</v>
      </c>
      <c r="V315" s="129">
        <v>240</v>
      </c>
      <c r="W315" s="130">
        <v>0</v>
      </c>
      <c r="X315" s="38"/>
      <c r="Y315" s="138">
        <v>250</v>
      </c>
      <c r="Z315" s="139">
        <v>126</v>
      </c>
      <c r="AA315" s="140">
        <v>888</v>
      </c>
      <c r="AB315" s="121"/>
      <c r="AC315" s="188"/>
      <c r="AD315" s="141">
        <v>21</v>
      </c>
      <c r="AE315" s="121"/>
      <c r="AF315" s="123"/>
      <c r="AG315" s="121"/>
      <c r="AH315" s="121"/>
      <c r="AI315" s="121"/>
      <c r="AJ315" s="272"/>
    </row>
    <row r="316" spans="1:36" ht="15.75" hidden="1">
      <c r="A316" s="263"/>
      <c r="B316" s="11"/>
      <c r="C316" s="11"/>
      <c r="D316" s="39"/>
      <c r="E316" s="39"/>
      <c r="F316" s="39"/>
      <c r="G316" s="39"/>
      <c r="H316" s="39"/>
      <c r="I316" s="39"/>
      <c r="J316" s="39"/>
      <c r="K316" s="11"/>
      <c r="L316" s="11"/>
      <c r="M316" s="11"/>
      <c r="N316" s="11"/>
      <c r="O316" s="135"/>
      <c r="P316" s="116" t="s">
        <v>358</v>
      </c>
      <c r="Q316" s="122"/>
      <c r="R316" s="124"/>
      <c r="S316" s="126" t="s">
        <v>358</v>
      </c>
      <c r="T316" s="126" t="s">
        <v>358</v>
      </c>
      <c r="U316" s="126" t="s">
        <v>358</v>
      </c>
      <c r="V316" s="126" t="s">
        <v>362</v>
      </c>
      <c r="W316" s="123" t="s">
        <v>362</v>
      </c>
      <c r="X316" s="117"/>
      <c r="Y316" s="123" t="s">
        <v>362</v>
      </c>
      <c r="Z316" s="123" t="s">
        <v>362</v>
      </c>
      <c r="AA316" s="123" t="s">
        <v>362</v>
      </c>
      <c r="AB316" s="124"/>
      <c r="AC316" s="123" t="s">
        <v>474</v>
      </c>
      <c r="AD316" s="126" t="s">
        <v>362</v>
      </c>
      <c r="AE316" s="118"/>
      <c r="AF316" s="122"/>
      <c r="AG316" s="122"/>
      <c r="AH316" s="112"/>
      <c r="AI316" s="112"/>
      <c r="AJ316" s="272"/>
    </row>
    <row r="317" spans="1:36" ht="15.75" hidden="1">
      <c r="A317" s="263"/>
      <c r="B317" s="11"/>
      <c r="C317" s="11"/>
      <c r="D317" s="39"/>
      <c r="E317" s="39"/>
      <c r="F317" s="39"/>
      <c r="G317" s="39"/>
      <c r="H317" s="39"/>
      <c r="I317" s="39"/>
      <c r="J317" s="39"/>
      <c r="K317" s="11"/>
      <c r="L317" s="11"/>
      <c r="M317" s="11"/>
      <c r="N317" s="11"/>
      <c r="O317" s="11"/>
      <c r="P317" s="76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264"/>
    </row>
    <row r="318" spans="1:36" ht="15.75" hidden="1">
      <c r="A318" s="263"/>
      <c r="B318" s="11"/>
      <c r="C318" s="11"/>
      <c r="D318" s="39"/>
      <c r="E318" s="39"/>
      <c r="F318" s="39"/>
      <c r="G318" s="39"/>
      <c r="H318" s="39"/>
      <c r="I318" s="39"/>
      <c r="J318" s="39"/>
      <c r="K318" s="11"/>
      <c r="L318" s="11"/>
      <c r="M318" s="11"/>
      <c r="N318" s="11"/>
      <c r="O318" s="11"/>
      <c r="P318" s="76"/>
      <c r="Q318" s="11"/>
      <c r="R318" s="11"/>
      <c r="S318" s="114"/>
      <c r="T318" s="113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264"/>
    </row>
    <row r="319" spans="1:36" ht="15.75" hidden="1">
      <c r="A319" s="263"/>
      <c r="B319" s="11"/>
      <c r="C319" s="11"/>
      <c r="D319" s="39"/>
      <c r="E319" s="39"/>
      <c r="F319" s="39"/>
      <c r="G319" s="39"/>
      <c r="H319" s="39"/>
      <c r="I319" s="39"/>
      <c r="J319" s="39"/>
      <c r="K319" s="11"/>
      <c r="L319" s="11"/>
      <c r="M319" s="11"/>
      <c r="N319" s="11"/>
      <c r="O319" s="11"/>
      <c r="P319" s="76"/>
      <c r="Q319" s="11"/>
      <c r="R319" s="11"/>
      <c r="S319" s="115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264"/>
    </row>
    <row r="320" spans="1:36" ht="15.75" hidden="1">
      <c r="A320" s="263"/>
      <c r="B320" s="11"/>
      <c r="C320" s="11"/>
      <c r="D320" s="39"/>
      <c r="E320" s="39"/>
      <c r="F320" s="39"/>
      <c r="G320" s="39"/>
      <c r="H320" s="39"/>
      <c r="I320" s="39"/>
      <c r="J320" s="39"/>
      <c r="K320" s="11"/>
      <c r="L320" s="11"/>
      <c r="M320" s="11"/>
      <c r="N320" s="11"/>
      <c r="O320" s="11"/>
      <c r="P320" s="76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264"/>
    </row>
    <row r="321" spans="1:36" ht="15.75" hidden="1">
      <c r="A321" s="263"/>
      <c r="B321" s="11"/>
      <c r="C321" s="11"/>
      <c r="D321" s="39"/>
      <c r="E321" s="39"/>
      <c r="F321" s="39"/>
      <c r="G321" s="39"/>
      <c r="H321" s="39"/>
      <c r="I321" s="39"/>
      <c r="J321" s="39"/>
      <c r="K321" s="11"/>
      <c r="L321" s="11"/>
      <c r="M321" s="11"/>
      <c r="N321" s="11"/>
      <c r="O321" s="11"/>
      <c r="P321" s="76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264"/>
    </row>
    <row r="322" spans="1:39" ht="16.5" thickBot="1">
      <c r="A322" s="273"/>
      <c r="B322" s="274"/>
      <c r="C322" s="274"/>
      <c r="D322" s="275"/>
      <c r="E322" s="275"/>
      <c r="F322" s="275"/>
      <c r="G322" s="275"/>
      <c r="H322" s="275"/>
      <c r="I322" s="275"/>
      <c r="J322" s="275"/>
      <c r="K322" s="274"/>
      <c r="L322" s="274"/>
      <c r="M322" s="274"/>
      <c r="N322" s="274"/>
      <c r="O322" s="274"/>
      <c r="P322" s="276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  <c r="AA322" s="274"/>
      <c r="AB322" s="274"/>
      <c r="AC322" s="274"/>
      <c r="AD322" s="274"/>
      <c r="AE322" s="274"/>
      <c r="AF322" s="274"/>
      <c r="AG322" s="274"/>
      <c r="AH322" s="274"/>
      <c r="AI322" s="274"/>
      <c r="AJ322" s="321" t="s">
        <v>518</v>
      </c>
      <c r="AK322" s="350" t="s">
        <v>517</v>
      </c>
      <c r="AL322" s="351"/>
      <c r="AM322" s="351"/>
    </row>
    <row r="326" ht="15.75">
      <c r="X326" s="280" t="s">
        <v>511</v>
      </c>
    </row>
    <row r="327" ht="15.75">
      <c r="X327" s="281" t="s">
        <v>512</v>
      </c>
    </row>
  </sheetData>
  <sheetProtection/>
  <autoFilter ref="A4:AJ282"/>
  <mergeCells count="41">
    <mergeCell ref="AK322:AM322"/>
    <mergeCell ref="B1:D1"/>
    <mergeCell ref="A2:A3"/>
    <mergeCell ref="B2:B3"/>
    <mergeCell ref="C2:C3"/>
    <mergeCell ref="D2:D3"/>
    <mergeCell ref="K2:K3"/>
    <mergeCell ref="L2:L3"/>
    <mergeCell ref="M2:M3"/>
    <mergeCell ref="N2:N3"/>
    <mergeCell ref="E2:E3"/>
    <mergeCell ref="F2:F3"/>
    <mergeCell ref="G2:G3"/>
    <mergeCell ref="J2:J3"/>
    <mergeCell ref="S2:S3"/>
    <mergeCell ref="T2:T3"/>
    <mergeCell ref="U2:U3"/>
    <mergeCell ref="V2:V3"/>
    <mergeCell ref="O2:O3"/>
    <mergeCell ref="P2:P3"/>
    <mergeCell ref="Q2:Q3"/>
    <mergeCell ref="R2:R3"/>
    <mergeCell ref="AH2:AH3"/>
    <mergeCell ref="AA2:AA3"/>
    <mergeCell ref="AB2:AB3"/>
    <mergeCell ref="AC2:AC3"/>
    <mergeCell ref="AD2:AD3"/>
    <mergeCell ref="W2:W3"/>
    <mergeCell ref="X2:X3"/>
    <mergeCell ref="Y2:Y3"/>
    <mergeCell ref="Z2:Z3"/>
    <mergeCell ref="AK2:AK3"/>
    <mergeCell ref="AL2:AL3"/>
    <mergeCell ref="AM2:AM3"/>
    <mergeCell ref="A315:B315"/>
    <mergeCell ref="AI2:AI3"/>
    <mergeCell ref="AJ2:AJ3"/>
    <mergeCell ref="A282:B282"/>
    <mergeCell ref="AE2:AE3"/>
    <mergeCell ref="AF2:AF3"/>
    <mergeCell ref="AG2:AG3"/>
  </mergeCells>
  <dataValidations count="1">
    <dataValidation type="custom" allowBlank="1" showInputMessage="1" showErrorMessage="1" errorTitle="Ошибка!" error="Округлите до целых!" sqref="K5:K48">
      <formula1>MOD(K5,1)&lt;0.00001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41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58.7109375" style="0" customWidth="1"/>
    <col min="3" max="4" width="12.421875" style="0" customWidth="1"/>
  </cols>
  <sheetData>
    <row r="2" ht="13.5" thickBot="1"/>
    <row r="3" spans="2:4" ht="16.5" thickBot="1">
      <c r="B3" s="303" t="s">
        <v>513</v>
      </c>
      <c r="C3" s="238" t="s">
        <v>509</v>
      </c>
      <c r="D3" s="239" t="s">
        <v>510</v>
      </c>
    </row>
    <row r="4" spans="2:4" ht="13.5" thickBot="1">
      <c r="B4" s="240"/>
      <c r="C4" s="194" t="s">
        <v>504</v>
      </c>
      <c r="D4" s="194" t="s">
        <v>504</v>
      </c>
    </row>
    <row r="5" spans="2:4" ht="16.5" customHeight="1" thickBot="1">
      <c r="B5" s="195" t="s">
        <v>475</v>
      </c>
      <c r="C5" s="213">
        <v>4.1379</v>
      </c>
      <c r="D5" s="213">
        <v>4.1379</v>
      </c>
    </row>
    <row r="6" spans="2:4" ht="16.5" customHeight="1">
      <c r="B6" s="198" t="s">
        <v>476</v>
      </c>
      <c r="C6" s="214">
        <v>17.87573</v>
      </c>
      <c r="D6" s="234"/>
    </row>
    <row r="7" spans="2:4" ht="16.5" customHeight="1">
      <c r="B7" s="199" t="s">
        <v>477</v>
      </c>
      <c r="C7" s="215">
        <v>59.08921</v>
      </c>
      <c r="D7" s="235"/>
    </row>
    <row r="8" spans="2:4" ht="16.5" customHeight="1">
      <c r="B8" s="199" t="s">
        <v>478</v>
      </c>
      <c r="C8" s="215">
        <v>58.59266</v>
      </c>
      <c r="D8" s="235">
        <f>6.238+2.098</f>
        <v>8.336</v>
      </c>
    </row>
    <row r="9" spans="2:4" ht="16.5" customHeight="1">
      <c r="B9" s="199" t="s">
        <v>479</v>
      </c>
      <c r="C9" s="215">
        <v>12.91025</v>
      </c>
      <c r="D9" s="235"/>
    </row>
    <row r="10" spans="2:4" ht="16.5" customHeight="1">
      <c r="B10" s="200" t="s">
        <v>480</v>
      </c>
      <c r="C10" s="215">
        <v>2.97929</v>
      </c>
      <c r="D10" s="235"/>
    </row>
    <row r="11" spans="2:4" ht="16.5" customHeight="1">
      <c r="B11" s="199" t="s">
        <v>481</v>
      </c>
      <c r="C11" s="216">
        <v>8.93786</v>
      </c>
      <c r="D11" s="235"/>
    </row>
    <row r="12" spans="2:4" ht="16.5" customHeight="1">
      <c r="B12" s="199" t="s">
        <v>508</v>
      </c>
      <c r="C12" s="216">
        <v>0.864</v>
      </c>
      <c r="D12" s="235">
        <v>0.88128</v>
      </c>
    </row>
    <row r="13" spans="2:4" ht="16.5" customHeight="1">
      <c r="B13" s="199" t="s">
        <v>482</v>
      </c>
      <c r="C13" s="216">
        <v>0.28946</v>
      </c>
      <c r="D13" s="235">
        <v>0.15079</v>
      </c>
    </row>
    <row r="14" spans="2:4" ht="16.5" customHeight="1">
      <c r="B14" s="199" t="s">
        <v>483</v>
      </c>
      <c r="C14" s="216"/>
      <c r="D14" s="235"/>
    </row>
    <row r="15" spans="2:4" ht="16.5" customHeight="1">
      <c r="B15" s="199" t="s">
        <v>484</v>
      </c>
      <c r="C15" s="217"/>
      <c r="D15" s="235"/>
    </row>
    <row r="16" spans="2:4" ht="16.5" customHeight="1" thickBot="1">
      <c r="B16" s="201" t="s">
        <v>485</v>
      </c>
      <c r="C16" s="218">
        <v>11.37923</v>
      </c>
      <c r="D16" s="236"/>
    </row>
    <row r="17" spans="2:4" ht="16.5" customHeight="1" thickBot="1">
      <c r="B17" s="196" t="s">
        <v>486</v>
      </c>
      <c r="C17" s="219">
        <f>SUM(C6:C16)</f>
        <v>172.91769</v>
      </c>
      <c r="D17" s="219">
        <f>SUM(D6:D16)</f>
        <v>9.368070000000001</v>
      </c>
    </row>
    <row r="18" spans="2:4" ht="16.5" customHeight="1">
      <c r="B18" s="202" t="s">
        <v>506</v>
      </c>
      <c r="C18" s="220">
        <v>65.08917</v>
      </c>
      <c r="D18" s="234"/>
    </row>
    <row r="19" spans="2:4" ht="16.5" customHeight="1" thickBot="1">
      <c r="B19" s="203" t="s">
        <v>487</v>
      </c>
      <c r="C19" s="221">
        <v>152.68851</v>
      </c>
      <c r="D19" s="236"/>
    </row>
    <row r="20" spans="2:4" ht="16.5" customHeight="1" thickBot="1">
      <c r="B20" s="192" t="s">
        <v>492</v>
      </c>
      <c r="C20" s="222"/>
      <c r="D20" s="237"/>
    </row>
    <row r="21" spans="2:4" ht="16.5" customHeight="1">
      <c r="B21" s="204" t="s">
        <v>13</v>
      </c>
      <c r="C21" s="243">
        <v>3.108</v>
      </c>
      <c r="D21" s="244">
        <v>7.709</v>
      </c>
    </row>
    <row r="22" spans="2:4" ht="16.5" customHeight="1">
      <c r="B22" s="205" t="s">
        <v>488</v>
      </c>
      <c r="C22" s="224"/>
      <c r="D22" s="235">
        <v>28.149</v>
      </c>
    </row>
    <row r="23" spans="2:4" ht="16.5" customHeight="1">
      <c r="B23" s="205" t="s">
        <v>16</v>
      </c>
      <c r="C23" s="224"/>
      <c r="D23" s="235">
        <v>1.568</v>
      </c>
    </row>
    <row r="24" spans="2:4" ht="16.5" customHeight="1">
      <c r="B24" s="205" t="s">
        <v>507</v>
      </c>
      <c r="C24" s="224"/>
      <c r="D24" s="235">
        <v>5.028</v>
      </c>
    </row>
    <row r="25" spans="2:4" ht="16.5" customHeight="1">
      <c r="B25" s="205" t="s">
        <v>489</v>
      </c>
      <c r="C25" s="224"/>
      <c r="D25" s="235"/>
    </row>
    <row r="26" spans="2:4" ht="16.5" customHeight="1">
      <c r="B26" s="205" t="s">
        <v>20</v>
      </c>
      <c r="C26" s="224"/>
      <c r="D26" s="235"/>
    </row>
    <row r="27" spans="2:4" ht="16.5" customHeight="1" thickBot="1">
      <c r="B27" s="206" t="s">
        <v>490</v>
      </c>
      <c r="C27" s="245"/>
      <c r="D27" s="246">
        <v>17.773</v>
      </c>
    </row>
    <row r="28" spans="2:4" ht="28.5" customHeight="1" thickBot="1">
      <c r="B28" s="206" t="s">
        <v>505</v>
      </c>
      <c r="C28" s="241"/>
      <c r="D28" s="242">
        <f>0.861+16.754+9.453</f>
        <v>27.068</v>
      </c>
    </row>
    <row r="29" spans="2:4" ht="16.5" customHeight="1" thickBot="1">
      <c r="B29" s="193" t="s">
        <v>491</v>
      </c>
      <c r="C29" s="226">
        <f>SUM(C21:C28)</f>
        <v>3.108</v>
      </c>
      <c r="D29" s="226">
        <f>SUM(D21:D28)</f>
        <v>87.295</v>
      </c>
    </row>
    <row r="30" spans="2:4" ht="16.5" customHeight="1">
      <c r="B30" s="207" t="s">
        <v>493</v>
      </c>
      <c r="C30" s="227">
        <v>64.05469</v>
      </c>
      <c r="D30" s="234"/>
    </row>
    <row r="31" spans="2:4" ht="16.5" customHeight="1">
      <c r="B31" s="208" t="s">
        <v>494</v>
      </c>
      <c r="C31" s="228"/>
      <c r="D31" s="235"/>
    </row>
    <row r="32" spans="2:4" ht="16.5" customHeight="1">
      <c r="B32" s="208" t="s">
        <v>495</v>
      </c>
      <c r="C32" s="229">
        <v>24.33085</v>
      </c>
      <c r="D32" s="235"/>
    </row>
    <row r="33" spans="2:4" ht="31.5" customHeight="1" thickBot="1">
      <c r="B33" s="209" t="s">
        <v>496</v>
      </c>
      <c r="C33" s="230">
        <v>11.58852</v>
      </c>
      <c r="D33" s="236"/>
    </row>
    <row r="34" spans="2:4" ht="16.5" customHeight="1" thickBot="1">
      <c r="B34" s="193" t="s">
        <v>497</v>
      </c>
      <c r="C34" s="231"/>
      <c r="D34" s="231"/>
    </row>
    <row r="35" spans="2:4" ht="16.5" customHeight="1">
      <c r="B35" s="210" t="s">
        <v>498</v>
      </c>
      <c r="C35" s="223">
        <v>60.20818</v>
      </c>
      <c r="D35" s="234"/>
    </row>
    <row r="36" spans="2:4" ht="16.5" customHeight="1" thickBot="1">
      <c r="B36" s="206" t="s">
        <v>499</v>
      </c>
      <c r="C36" s="225">
        <v>3.47588</v>
      </c>
      <c r="D36" s="236"/>
    </row>
    <row r="37" spans="2:4" ht="16.5" customHeight="1" thickBot="1">
      <c r="B37" s="197" t="s">
        <v>500</v>
      </c>
      <c r="C37" s="226">
        <f>SUM(C35:C36)</f>
        <v>63.68406</v>
      </c>
      <c r="D37" s="226">
        <f>SUM(D35:D36)</f>
        <v>0</v>
      </c>
    </row>
    <row r="38" spans="2:4" ht="16.5" customHeight="1">
      <c r="B38" s="211" t="s">
        <v>501</v>
      </c>
      <c r="C38" s="232">
        <v>58.59266</v>
      </c>
      <c r="D38" s="234"/>
    </row>
    <row r="39" spans="2:4" ht="33" customHeight="1" thickBot="1">
      <c r="B39" s="212" t="s">
        <v>502</v>
      </c>
      <c r="C39" s="233"/>
      <c r="D39" s="236"/>
    </row>
    <row r="40" spans="2:4" ht="16.5" customHeight="1">
      <c r="B40" s="357" t="s">
        <v>503</v>
      </c>
      <c r="C40" s="355">
        <f>C17+C18+C19+C29+C30+C31+C32+C33+C37+C38+C39</f>
        <v>616.05415</v>
      </c>
      <c r="D40" s="355">
        <f>D17+D18+D19+D29+D30+D31+D32+D33+D37+D38+D39</f>
        <v>96.66307</v>
      </c>
    </row>
    <row r="41" spans="2:4" ht="16.5" customHeight="1" thickBot="1">
      <c r="B41" s="358"/>
      <c r="C41" s="356"/>
      <c r="D41" s="356"/>
    </row>
  </sheetData>
  <sheetProtection/>
  <mergeCells count="3">
    <mergeCell ref="C40:C41"/>
    <mergeCell ref="B40:B41"/>
    <mergeCell ref="D40:D41"/>
  </mergeCells>
  <printOptions/>
  <pageMargins left="0.31496062992125984" right="0.11811023622047245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C42" sqref="C42"/>
    </sheetView>
  </sheetViews>
  <sheetFormatPr defaultColWidth="9.140625" defaultRowHeight="12.75"/>
  <cols>
    <col min="3" max="3" width="61.7109375" style="0" customWidth="1"/>
    <col min="4" max="4" width="0" style="0" hidden="1" customWidth="1"/>
    <col min="5" max="5" width="22.57421875" style="0" customWidth="1"/>
    <col min="6" max="6" width="0" style="0" hidden="1" customWidth="1"/>
  </cols>
  <sheetData>
    <row r="2" spans="2:6" ht="16.5" hidden="1" thickBot="1">
      <c r="B2" s="359" t="s">
        <v>0</v>
      </c>
      <c r="C2" s="359"/>
      <c r="D2" s="294"/>
      <c r="E2" s="295">
        <v>22</v>
      </c>
      <c r="F2" s="273"/>
    </row>
    <row r="3" spans="2:6" ht="16.5" thickBot="1">
      <c r="B3" s="359" t="s">
        <v>1</v>
      </c>
      <c r="C3" s="359"/>
      <c r="D3" s="294"/>
      <c r="E3" s="296" t="s">
        <v>50</v>
      </c>
      <c r="F3" s="274"/>
    </row>
    <row r="4" spans="2:6" ht="24" customHeight="1" hidden="1" thickBot="1">
      <c r="B4" s="359" t="s">
        <v>11</v>
      </c>
      <c r="C4" s="359"/>
      <c r="D4" s="190"/>
      <c r="E4" s="297">
        <v>0</v>
      </c>
      <c r="F4" s="274"/>
    </row>
    <row r="5" spans="2:6" ht="16.5" hidden="1" thickBot="1">
      <c r="B5" s="360" t="s">
        <v>12</v>
      </c>
      <c r="C5" s="360"/>
      <c r="D5" s="190"/>
      <c r="E5" s="298">
        <v>0</v>
      </c>
      <c r="F5" s="274"/>
    </row>
    <row r="6" spans="2:6" ht="16.5" thickBot="1">
      <c r="B6" s="361" t="s">
        <v>13</v>
      </c>
      <c r="C6" s="361"/>
      <c r="D6" s="299"/>
      <c r="E6" s="102">
        <v>1.607</v>
      </c>
      <c r="F6" s="276"/>
    </row>
    <row r="7" spans="2:6" ht="16.5" thickBot="1">
      <c r="B7" s="362" t="s">
        <v>14</v>
      </c>
      <c r="C7" s="362"/>
      <c r="D7" s="300"/>
      <c r="E7" s="101">
        <v>0</v>
      </c>
      <c r="F7" s="274"/>
    </row>
    <row r="8" spans="2:6" ht="16.5" thickBot="1">
      <c r="B8" s="362" t="s">
        <v>15</v>
      </c>
      <c r="C8" s="362"/>
      <c r="D8" s="300"/>
      <c r="E8" s="101">
        <v>24.48</v>
      </c>
      <c r="F8" s="274"/>
    </row>
    <row r="9" spans="2:6" ht="16.5" thickBot="1">
      <c r="B9" s="362" t="s">
        <v>16</v>
      </c>
      <c r="C9" s="362"/>
      <c r="D9" s="300"/>
      <c r="E9" s="101">
        <v>0</v>
      </c>
      <c r="F9" s="274"/>
    </row>
    <row r="10" spans="2:6" ht="16.5" thickBot="1">
      <c r="B10" s="362" t="s">
        <v>361</v>
      </c>
      <c r="C10" s="362"/>
      <c r="D10" s="301"/>
      <c r="E10" s="101">
        <v>7.125</v>
      </c>
      <c r="F10" s="274"/>
    </row>
    <row r="11" spans="2:6" ht="16.5" thickBot="1">
      <c r="B11" s="362" t="s">
        <v>17</v>
      </c>
      <c r="C11" s="362"/>
      <c r="D11" s="301"/>
      <c r="E11" s="101">
        <f>0.19</f>
        <v>0.19</v>
      </c>
      <c r="F11" s="274"/>
    </row>
    <row r="12" spans="2:6" ht="16.5" thickBot="1">
      <c r="B12" s="362" t="s">
        <v>18</v>
      </c>
      <c r="C12" s="362"/>
      <c r="D12" s="301"/>
      <c r="E12" s="101">
        <v>0</v>
      </c>
      <c r="F12" s="274"/>
    </row>
    <row r="13" spans="2:6" ht="16.5" thickBot="1">
      <c r="B13" s="362" t="s">
        <v>19</v>
      </c>
      <c r="C13" s="362"/>
      <c r="D13" s="301"/>
      <c r="E13" s="101">
        <v>0</v>
      </c>
      <c r="F13" s="274"/>
    </row>
    <row r="14" spans="2:6" ht="16.5" thickBot="1">
      <c r="B14" s="362" t="s">
        <v>20</v>
      </c>
      <c r="C14" s="362"/>
      <c r="D14" s="301"/>
      <c r="E14" s="101">
        <v>0</v>
      </c>
      <c r="F14" s="274"/>
    </row>
    <row r="15" spans="2:6" ht="16.5" thickBot="1">
      <c r="B15" s="362" t="s">
        <v>363</v>
      </c>
      <c r="C15" s="362"/>
      <c r="D15" s="301"/>
      <c r="E15" s="101">
        <v>11.781</v>
      </c>
      <c r="F15" s="274"/>
    </row>
    <row r="16" spans="2:6" ht="16.5" thickBot="1">
      <c r="B16" s="362" t="s">
        <v>364</v>
      </c>
      <c r="C16" s="362"/>
      <c r="D16" s="301"/>
      <c r="E16" s="101">
        <v>23.632</v>
      </c>
      <c r="F16" s="274"/>
    </row>
    <row r="17" spans="2:6" ht="16.5" thickBot="1">
      <c r="B17" s="362" t="s">
        <v>365</v>
      </c>
      <c r="C17" s="362"/>
      <c r="D17" s="301"/>
      <c r="E17" s="101">
        <v>4.443</v>
      </c>
      <c r="F17" s="274"/>
    </row>
    <row r="18" spans="2:6" ht="16.5" thickBot="1">
      <c r="B18" s="362" t="s">
        <v>366</v>
      </c>
      <c r="C18" s="362"/>
      <c r="D18" s="301"/>
      <c r="E18" s="101">
        <v>0</v>
      </c>
      <c r="F18" s="274"/>
    </row>
    <row r="19" spans="2:6" ht="16.5" thickBot="1">
      <c r="B19" s="362" t="s">
        <v>21</v>
      </c>
      <c r="C19" s="362"/>
      <c r="D19" s="301"/>
      <c r="E19" s="101">
        <v>0</v>
      </c>
      <c r="F19" s="274"/>
    </row>
    <row r="20" spans="2:6" ht="16.5" thickBot="1">
      <c r="B20" s="365" t="s">
        <v>22</v>
      </c>
      <c r="C20" s="366"/>
      <c r="D20" s="301"/>
      <c r="E20" s="101">
        <v>0</v>
      </c>
      <c r="F20" s="274"/>
    </row>
    <row r="21" spans="2:6" ht="16.5" thickBot="1">
      <c r="B21" s="365" t="s">
        <v>23</v>
      </c>
      <c r="C21" s="365"/>
      <c r="D21" s="301"/>
      <c r="E21" s="101">
        <v>0</v>
      </c>
      <c r="F21" s="274"/>
    </row>
    <row r="22" spans="2:6" ht="16.5" thickBot="1">
      <c r="B22" s="365" t="s">
        <v>24</v>
      </c>
      <c r="C22" s="365"/>
      <c r="D22" s="301"/>
      <c r="E22" s="101">
        <v>0</v>
      </c>
      <c r="F22" s="274"/>
    </row>
    <row r="23" spans="2:6" ht="16.5" thickBot="1">
      <c r="B23" s="367" t="s">
        <v>25</v>
      </c>
      <c r="C23" s="367"/>
      <c r="D23" s="301"/>
      <c r="E23" s="101">
        <v>0</v>
      </c>
      <c r="F23" s="274"/>
    </row>
    <row r="24" spans="2:6" ht="16.5" thickBot="1">
      <c r="B24" s="367" t="s">
        <v>25</v>
      </c>
      <c r="C24" s="367"/>
      <c r="D24" s="301"/>
      <c r="E24" s="101">
        <v>0</v>
      </c>
      <c r="F24" s="274"/>
    </row>
    <row r="25" spans="2:6" ht="16.5" thickBot="1">
      <c r="B25" s="367" t="s">
        <v>25</v>
      </c>
      <c r="C25" s="367"/>
      <c r="D25" s="301"/>
      <c r="E25" s="101">
        <v>0</v>
      </c>
      <c r="F25" s="274"/>
    </row>
    <row r="26" spans="2:6" ht="16.5" thickBot="1">
      <c r="B26" s="363" t="s">
        <v>26</v>
      </c>
      <c r="C26" s="364"/>
      <c r="D26" s="301"/>
      <c r="E26" s="302">
        <f>SUM(E6,E7,E8,E9,E10,E11,E12,E13,E14,E15,E16,E17,E18,E19,E20,E21,E22,E23,E24,E25)</f>
        <v>73.258</v>
      </c>
      <c r="F26" s="277"/>
    </row>
  </sheetData>
  <sheetProtection/>
  <mergeCells count="25">
    <mergeCell ref="B26:C2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B3" sqref="B3:E27"/>
    </sheetView>
  </sheetViews>
  <sheetFormatPr defaultColWidth="9.140625" defaultRowHeight="12.75"/>
  <cols>
    <col min="2" max="2" width="29.28125" style="0" customWidth="1"/>
    <col min="3" max="3" width="43.28125" style="0" customWidth="1"/>
    <col min="5" max="5" width="18.8515625" style="0" customWidth="1"/>
  </cols>
  <sheetData>
    <row r="2" ht="12.75">
      <c r="B2" t="s">
        <v>230</v>
      </c>
    </row>
    <row r="3" spans="2:6" ht="16.5" thickBot="1">
      <c r="B3" s="347" t="s">
        <v>0</v>
      </c>
      <c r="C3" s="347"/>
      <c r="D3" s="7"/>
      <c r="E3" s="12">
        <v>184</v>
      </c>
      <c r="F3" s="273"/>
    </row>
    <row r="4" spans="2:6" ht="32.25" thickBot="1">
      <c r="B4" s="347" t="s">
        <v>1</v>
      </c>
      <c r="C4" s="347"/>
      <c r="D4" s="7"/>
      <c r="E4" s="13" t="s">
        <v>230</v>
      </c>
      <c r="F4" s="274"/>
    </row>
    <row r="5" spans="2:6" ht="16.5" thickBot="1">
      <c r="B5" s="368" t="s">
        <v>11</v>
      </c>
      <c r="C5" s="368"/>
      <c r="D5" s="10"/>
      <c r="E5" s="16" t="e">
        <f>E3*#REF!*12</f>
        <v>#REF!</v>
      </c>
      <c r="F5" s="274"/>
    </row>
    <row r="6" spans="2:6" ht="16.5" thickBot="1">
      <c r="B6" s="369" t="s">
        <v>12</v>
      </c>
      <c r="C6" s="369"/>
      <c r="D6" s="10"/>
      <c r="E6" s="17" t="e">
        <f>E5*$O$1</f>
        <v>#REF!</v>
      </c>
      <c r="F6" s="274"/>
    </row>
    <row r="7" spans="2:6" ht="16.5" thickBot="1">
      <c r="B7" s="370" t="s">
        <v>13</v>
      </c>
      <c r="C7" s="370"/>
      <c r="D7" s="76"/>
      <c r="E7" s="77">
        <v>0</v>
      </c>
      <c r="F7" s="276"/>
    </row>
    <row r="8" spans="2:6" ht="16.5" thickBot="1">
      <c r="B8" s="371" t="s">
        <v>14</v>
      </c>
      <c r="C8" s="371"/>
      <c r="D8" s="11"/>
      <c r="E8" s="142">
        <v>11.313</v>
      </c>
      <c r="F8" s="274"/>
    </row>
    <row r="9" spans="2:6" ht="16.5" thickBot="1">
      <c r="B9" s="372" t="s">
        <v>15</v>
      </c>
      <c r="C9" s="372"/>
      <c r="D9" s="11"/>
      <c r="E9" s="184">
        <f>19.904+35.473</f>
        <v>55.376999999999995</v>
      </c>
      <c r="F9" s="274"/>
    </row>
    <row r="10" spans="2:6" ht="16.5" thickBot="1">
      <c r="B10" s="373" t="s">
        <v>16</v>
      </c>
      <c r="C10" s="373"/>
      <c r="D10" s="11"/>
      <c r="E10" s="18">
        <v>0</v>
      </c>
      <c r="F10" s="274"/>
    </row>
    <row r="11" spans="2:6" ht="16.5" thickBot="1">
      <c r="B11" s="374" t="s">
        <v>361</v>
      </c>
      <c r="C11" s="374"/>
      <c r="D11" s="5"/>
      <c r="E11" s="18">
        <v>0</v>
      </c>
      <c r="F11" s="274"/>
    </row>
    <row r="12" spans="2:6" ht="16.5" thickBot="1">
      <c r="B12" s="375" t="s">
        <v>17</v>
      </c>
      <c r="C12" s="375"/>
      <c r="D12" s="5"/>
      <c r="E12" s="18">
        <v>0</v>
      </c>
      <c r="F12" s="274"/>
    </row>
    <row r="13" spans="2:6" ht="16.5" thickBot="1">
      <c r="B13" s="376" t="s">
        <v>18</v>
      </c>
      <c r="C13" s="376"/>
      <c r="D13" s="5"/>
      <c r="E13" s="18">
        <v>0</v>
      </c>
      <c r="F13" s="274"/>
    </row>
    <row r="14" spans="2:6" ht="16.5" thickBot="1">
      <c r="B14" s="377" t="s">
        <v>19</v>
      </c>
      <c r="C14" s="377"/>
      <c r="D14" s="5"/>
      <c r="E14" s="18">
        <v>0</v>
      </c>
      <c r="F14" s="274"/>
    </row>
    <row r="15" spans="2:6" ht="16.5" thickBot="1">
      <c r="B15" s="378" t="s">
        <v>20</v>
      </c>
      <c r="C15" s="378"/>
      <c r="D15" s="5"/>
      <c r="E15" s="18">
        <v>0</v>
      </c>
      <c r="F15" s="274"/>
    </row>
    <row r="16" spans="2:6" ht="16.5" thickBot="1">
      <c r="B16" s="379" t="s">
        <v>363</v>
      </c>
      <c r="C16" s="379"/>
      <c r="D16" s="5"/>
      <c r="E16" s="18">
        <v>0</v>
      </c>
      <c r="F16" s="274"/>
    </row>
    <row r="17" spans="2:6" ht="16.5" thickBot="1">
      <c r="B17" s="380" t="s">
        <v>364</v>
      </c>
      <c r="C17" s="380"/>
      <c r="D17" s="5"/>
      <c r="E17" s="18">
        <v>0</v>
      </c>
      <c r="F17" s="274"/>
    </row>
    <row r="18" spans="2:6" ht="16.5" thickBot="1">
      <c r="B18" s="381" t="s">
        <v>365</v>
      </c>
      <c r="C18" s="381"/>
      <c r="D18" s="5"/>
      <c r="E18" s="18">
        <v>0</v>
      </c>
      <c r="F18" s="274"/>
    </row>
    <row r="19" spans="2:6" ht="16.5" thickBot="1">
      <c r="B19" s="382" t="s">
        <v>366</v>
      </c>
      <c r="C19" s="382"/>
      <c r="D19" s="5"/>
      <c r="E19" s="18">
        <v>0</v>
      </c>
      <c r="F19" s="274"/>
    </row>
    <row r="20" spans="2:6" ht="16.5" thickBot="1">
      <c r="B20" s="383" t="s">
        <v>21</v>
      </c>
      <c r="C20" s="383"/>
      <c r="D20" s="5"/>
      <c r="E20" s="18">
        <v>0</v>
      </c>
      <c r="F20" s="274"/>
    </row>
    <row r="21" spans="2:6" ht="16.5" thickBot="1">
      <c r="B21" s="386" t="s">
        <v>22</v>
      </c>
      <c r="C21" s="387"/>
      <c r="D21" s="5"/>
      <c r="E21" s="18">
        <v>0</v>
      </c>
      <c r="F21" s="274"/>
    </row>
    <row r="22" spans="2:6" ht="16.5" thickBot="1">
      <c r="B22" s="388" t="s">
        <v>23</v>
      </c>
      <c r="C22" s="388"/>
      <c r="D22" s="5"/>
      <c r="E22" s="18">
        <v>0</v>
      </c>
      <c r="F22" s="274"/>
    </row>
    <row r="23" spans="2:6" ht="16.5" thickBot="1">
      <c r="B23" s="388" t="s">
        <v>24</v>
      </c>
      <c r="C23" s="388"/>
      <c r="D23" s="5"/>
      <c r="E23" s="18">
        <v>0</v>
      </c>
      <c r="F23" s="274"/>
    </row>
    <row r="24" spans="2:6" ht="16.5" thickBot="1">
      <c r="B24" s="389" t="s">
        <v>25</v>
      </c>
      <c r="C24" s="389"/>
      <c r="D24" s="5"/>
      <c r="E24" s="18">
        <v>0</v>
      </c>
      <c r="F24" s="274"/>
    </row>
    <row r="25" spans="2:6" ht="16.5" thickBot="1">
      <c r="B25" s="389" t="s">
        <v>25</v>
      </c>
      <c r="C25" s="389"/>
      <c r="D25" s="5"/>
      <c r="E25" s="18">
        <v>0</v>
      </c>
      <c r="F25" s="274"/>
    </row>
    <row r="26" spans="2:6" ht="16.5" thickBot="1">
      <c r="B26" s="389" t="s">
        <v>25</v>
      </c>
      <c r="C26" s="389"/>
      <c r="D26" s="5"/>
      <c r="E26" s="18">
        <v>0</v>
      </c>
      <c r="F26" s="274"/>
    </row>
    <row r="27" spans="2:6" ht="16.5" thickBot="1">
      <c r="B27" s="384" t="s">
        <v>26</v>
      </c>
      <c r="C27" s="385"/>
      <c r="D27" s="5"/>
      <c r="E27" s="191">
        <f>SUM(E7,E8,E9,E10,E11,E12,E13,E14,E15,E16,E17,E18,E19,E20,E21,E22,E23,E24,E25,E26)</f>
        <v>66.69</v>
      </c>
      <c r="F27" s="277"/>
    </row>
  </sheetData>
  <sheetProtection/>
  <mergeCells count="25">
    <mergeCell ref="B27:C27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2013-02-26T14:27:22Z</cp:lastPrinted>
  <dcterms:created xsi:type="dcterms:W3CDTF">1996-10-08T23:32:33Z</dcterms:created>
  <dcterms:modified xsi:type="dcterms:W3CDTF">2013-03-22T07:53:23Z</dcterms:modified>
  <cp:category/>
  <cp:version/>
  <cp:contentType/>
  <cp:contentStatus/>
</cp:coreProperties>
</file>